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915" yWindow="65341" windowWidth="14115" windowHeight="11655" tabRatio="698" firstSheet="3" activeTab="10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серпень" sheetId="9" r:id="rId9"/>
    <sheet name="вересень" sheetId="10" r:id="rId10"/>
    <sheet name="жовтень" sheetId="11" r:id="rId11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7">'липень'!$A$1:$AG$99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8">'серпень'!$A$1:$AG$99</definedName>
    <definedName name="_xlnm.Print_Area" localSheetId="0">'січ(тимч.)'!$A$1:$AG$99</definedName>
    <definedName name="_xlnm.Print_Area" localSheetId="5">'травень'!$A$1:$AG$99</definedName>
    <definedName name="_xlnm.Print_Area" localSheetId="6">'червень'!$A$1:$AG$99</definedName>
  </definedNames>
  <calcPr fullCalcOnLoad="1"/>
</workbook>
</file>

<file path=xl/sharedStrings.xml><?xml version="1.0" encoding="utf-8"?>
<sst xmlns="http://schemas.openxmlformats.org/spreadsheetml/2006/main" count="1144" uniqueCount="74">
  <si>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</si>
  <si>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</si>
  <si>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</si>
  <si>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</si>
  <si>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</si>
  <si>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</si>
  <si>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</si>
  <si>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</si>
  <si>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</si>
  <si>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</si>
  <si>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</si>
  <si>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</si>
  <si>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</si>
  <si>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</si>
  <si>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</si>
  <si>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</si>
  <si>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</si>
  <si>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</si>
  <si>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</si>
  <si>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</si>
  <si>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</si>
  <si>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</si>
  <si>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</si>
  <si>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</si>
  <si>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</si>
  <si>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</si>
  <si>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</si>
  <si>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</si>
  <si>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</si>
  <si>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</si>
  <si>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</si>
  <si>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</si>
  <si>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</si>
  <si>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</si>
  <si>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</si>
  <si>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</si>
  <si>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</si>
  <si>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</si>
  <si>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</si>
  <si>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</si>
  <si>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</si>
  <si>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</si>
  <si>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</si>
  <si>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</si>
  <si>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</si>
  <si>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</si>
  <si>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</si>
  <si>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</si>
  <si>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</si>
  <si>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</si>
  <si>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</si>
  <si>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</si>
  <si>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</si>
  <si>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</si>
  <si>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</si>
  <si>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</si>
  <si>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</si>
  <si>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</si>
  <si>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</si>
  <si>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</si>
  <si>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</si>
  <si>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</si>
  <si>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</si>
  <si>
    <t xml:space="preserve">Субвенція державному бюджету </t>
  </si>
  <si>
    <t>по міському бюджету м.Черкаси у ЧЕРВНІ 2018 р.</t>
  </si>
  <si>
    <t>надійшло доходів/план видатків
 на червень</t>
  </si>
  <si>
    <t>надійшло доходів/план видатків
 на липень</t>
  </si>
  <si>
    <t>по міському бюджету м.Черкаси у ЛИПНІ 2018 р.</t>
  </si>
  <si>
    <t>по міському бюджету м.Черкаси у СЕРПНІ 2018 р.</t>
  </si>
  <si>
    <t>надійшло доходів/план видатків
 на серпень</t>
  </si>
  <si>
    <t>по міському бюджету м.Черкаси у ВЕРЕСНІ 2018 р.</t>
  </si>
  <si>
    <t>надійшло доходів/план видатків
 на вересень</t>
  </si>
  <si>
    <t>надійшло доходів/план видатків
 на жовтень</t>
  </si>
  <si>
    <t>по міському бюджету м.Черкаси у ЖОВТНІ 2018 р.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</si>
</sst>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196" fontId="0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center"/>
    </xf>
    <xf numFmtId="196" fontId="0" fillId="33" borderId="0" xfId="0" applyNumberFormat="1" applyFill="1" applyAlignment="1">
      <alignment horizontal="right" vertic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200" fontId="22" fillId="33" borderId="0" xfId="0" applyNumberFormat="1" applyFont="1" applyFill="1" applyAlignment="1">
      <alignment/>
    </xf>
    <xf numFmtId="0" fontId="2" fillId="34" borderId="10" xfId="0" applyFont="1" applyFill="1" applyBorder="1" applyAlignment="1">
      <alignment wrapText="1"/>
    </xf>
    <xf numFmtId="200" fontId="10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200" fontId="10" fillId="34" borderId="10" xfId="0" applyNumberFormat="1" applyFont="1" applyFill="1" applyBorder="1" applyAlignment="1">
      <alignment/>
    </xf>
    <xf numFmtId="196" fontId="0" fillId="34" borderId="0" xfId="0" applyNumberFormat="1" applyFill="1" applyAlignment="1">
      <alignment/>
    </xf>
    <xf numFmtId="200" fontId="10" fillId="34" borderId="10" xfId="0" applyNumberFormat="1" applyFont="1" applyFill="1" applyBorder="1" applyAlignment="1">
      <alignment horizontal="right"/>
    </xf>
    <xf numFmtId="200" fontId="10" fillId="34" borderId="10" xfId="0" applyNumberFormat="1" applyFont="1" applyFill="1" applyBorder="1" applyAlignment="1">
      <alignment horizontal="right" vertical="center"/>
    </xf>
    <xf numFmtId="200" fontId="2" fillId="34" borderId="10" xfId="0" applyNumberFormat="1" applyFont="1" applyFill="1" applyBorder="1" applyAlignment="1">
      <alignment shrinkToFit="1"/>
    </xf>
    <xf numFmtId="200" fontId="21" fillId="34" borderId="10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33" sqref="AG3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68725.00000000003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1882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102947.19999999998</v>
      </c>
      <c r="AG9" s="69">
        <f>AG10+AG15+AG24+AG33+AG47+AG52+AG54+AG61+AG62+AG71+AG72+AG76+AG88+AG81+AG83+AG82+AG69+AG89+AG91+AG90+AG70+AG40+AG92</f>
        <v>20294.70000000001</v>
      </c>
      <c r="AH9" s="41"/>
      <c r="AI9" s="41"/>
    </row>
    <row r="10" spans="1:33" ht="15.7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.7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.7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.7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.7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.7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.7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0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26149.8</v>
      </c>
      <c r="AG24" s="71">
        <f t="shared" si="3"/>
        <v>7267.200000000001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26149.8</v>
      </c>
      <c r="AG32" s="71">
        <f>AG24</f>
        <v>7267.200000000001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.7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.7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.7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.7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.7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.7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.7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.7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.7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.7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.7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.7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.7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.7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.7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1.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.7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.7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.7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.7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.7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.7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1882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102947.19999999998</v>
      </c>
      <c r="AG94" s="84">
        <f>AG10+AG15+AG24+AG33+AG47+AG52+AG54+AG61+AG62+AG69+AG71+AG72+AG76+AG81+AG82+AG83+AG88+AG89+AG90+AG91+AG70+AG40+AG92</f>
        <v>20294.70000000001</v>
      </c>
    </row>
    <row r="95" spans="1:33" ht="15.7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.7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.7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2.7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1882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35556.99999999997</v>
      </c>
      <c r="AG100" s="85">
        <f>AG94-AG95-AG96-AG97-AG98-AG99</f>
        <v>12146.900000000027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8">
      <pane xSplit="1" topLeftCell="B1" activePane="topRight" state="frozen"/>
      <selection pane="topLeft" activeCell="A1" sqref="A1"/>
      <selection pane="topRight" activeCell="AG33" sqref="AG33:AG39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70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71</v>
      </c>
      <c r="C4" s="90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19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34874.4</v>
      </c>
      <c r="C7" s="129">
        <v>13091.150000000009</v>
      </c>
      <c r="D7" s="38"/>
      <c r="E7" s="38">
        <v>17437.2</v>
      </c>
      <c r="F7" s="38"/>
      <c r="G7" s="38"/>
      <c r="H7" s="56"/>
      <c r="I7" s="38"/>
      <c r="J7" s="39">
        <v>17437.2</v>
      </c>
      <c r="K7" s="38"/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10314.350000000013</v>
      </c>
      <c r="AF7" s="54"/>
      <c r="AG7" s="40"/>
    </row>
    <row r="8" spans="1:55" ht="18" customHeight="1">
      <c r="A8" s="47" t="s">
        <v>30</v>
      </c>
      <c r="B8" s="33">
        <f>SUM(E8:AB8)</f>
        <v>99960.09999999999</v>
      </c>
      <c r="C8" s="103">
        <v>175461.74000000005</v>
      </c>
      <c r="D8" s="59">
        <v>6401.4</v>
      </c>
      <c r="E8" s="60">
        <v>2153.6</v>
      </c>
      <c r="F8" s="137">
        <v>2023.2</v>
      </c>
      <c r="G8" s="137">
        <v>5378.3</v>
      </c>
      <c r="H8" s="137">
        <v>6050.5</v>
      </c>
      <c r="I8" s="137">
        <v>11858.7</v>
      </c>
      <c r="J8" s="138">
        <v>1813.1</v>
      </c>
      <c r="K8" s="138">
        <v>1597</v>
      </c>
      <c r="L8" s="138">
        <v>1630.3</v>
      </c>
      <c r="M8" s="137">
        <v>2971</v>
      </c>
      <c r="N8" s="137">
        <v>12919.8</v>
      </c>
      <c r="O8" s="137">
        <v>3599.7</v>
      </c>
      <c r="P8" s="137">
        <v>2470.8</v>
      </c>
      <c r="Q8" s="137">
        <v>3399.6</v>
      </c>
      <c r="R8" s="137">
        <v>6982.7</v>
      </c>
      <c r="S8" s="63">
        <v>8922.4</v>
      </c>
      <c r="T8" s="63">
        <v>6877.2</v>
      </c>
      <c r="U8" s="61">
        <v>2563</v>
      </c>
      <c r="V8" s="61">
        <v>5659.4</v>
      </c>
      <c r="W8" s="61">
        <v>11089.8</v>
      </c>
      <c r="X8" s="62"/>
      <c r="Y8" s="62"/>
      <c r="Z8" s="62"/>
      <c r="AA8" s="62"/>
      <c r="AB8" s="61"/>
      <c r="AC8" s="64"/>
      <c r="AD8" s="64"/>
      <c r="AE8" s="65">
        <f>SUM(D8:AD8)+C8-AF9+AF16+AF25</f>
        <v>157804.54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51">
        <f>B10+B15+B24+B33+B47+B52+B54+B61+B62+B71+B72+B88+B76+B81+B83+B82+B69+B89+B90+B91+B70+B40+B92</f>
        <v>161416.09403</v>
      </c>
      <c r="C9" s="104">
        <f aca="true" t="shared" si="0" ref="C9:AD9">C10+C15+C24+C33+C47+C52+C54+C61+C62+C71+C72+C88+C76+C81+C83+C82+C69+C89+C90+C91+C70+C40+C92</f>
        <v>159530.52548999997</v>
      </c>
      <c r="D9" s="68">
        <f t="shared" si="0"/>
        <v>1436.5</v>
      </c>
      <c r="E9" s="68">
        <f t="shared" si="0"/>
        <v>381.20000000000005</v>
      </c>
      <c r="F9" s="68">
        <f t="shared" si="0"/>
        <v>2441.8</v>
      </c>
      <c r="G9" s="68">
        <f t="shared" si="0"/>
        <v>2569.4</v>
      </c>
      <c r="H9" s="68">
        <f t="shared" si="0"/>
        <v>8748.5</v>
      </c>
      <c r="I9" s="68">
        <f t="shared" si="0"/>
        <v>2859.7</v>
      </c>
      <c r="J9" s="104">
        <f t="shared" si="0"/>
        <v>6129.9</v>
      </c>
      <c r="K9" s="68">
        <f t="shared" si="0"/>
        <v>35739.8</v>
      </c>
      <c r="L9" s="104">
        <f>L10+L15+L24+L33+L47+L52+L54+L61+L62+L71+L72+L88+L76+L81+L83+L82+L69+L89+L90+L91+L70+L40+L92</f>
        <v>13879.300000000001</v>
      </c>
      <c r="M9" s="68">
        <f t="shared" si="0"/>
        <v>2683</v>
      </c>
      <c r="N9" s="68">
        <f t="shared" si="0"/>
        <v>1741.0999999999997</v>
      </c>
      <c r="O9" s="68">
        <f t="shared" si="0"/>
        <v>4721.4</v>
      </c>
      <c r="P9" s="68">
        <f t="shared" si="0"/>
        <v>4995.799999999999</v>
      </c>
      <c r="Q9" s="68">
        <f t="shared" si="0"/>
        <v>5927.5</v>
      </c>
      <c r="R9" s="68">
        <f t="shared" si="0"/>
        <v>2698.6</v>
      </c>
      <c r="S9" s="68">
        <f t="shared" si="0"/>
        <v>7874.200000000001</v>
      </c>
      <c r="T9" s="68">
        <f t="shared" si="0"/>
        <v>3831.4</v>
      </c>
      <c r="U9" s="68">
        <f t="shared" si="0"/>
        <v>0</v>
      </c>
      <c r="V9" s="68">
        <f t="shared" si="0"/>
        <v>51961.8</v>
      </c>
      <c r="W9" s="68">
        <f t="shared" si="0"/>
        <v>1049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161669.90000000002</v>
      </c>
      <c r="AG9" s="69">
        <f>AG10+AG15+AG24+AG33+AG47+AG52+AG54+AG61+AG62+AG71+AG72+AG76+AG88+AG81+AG83+AG82+AG69+AG89+AG91+AG90+AG70+AG40+AG92</f>
        <v>159276.71951999998</v>
      </c>
      <c r="AH9" s="41"/>
      <c r="AI9" s="41"/>
    </row>
    <row r="10" spans="1:34" ht="15.75">
      <c r="A10" s="4" t="s">
        <v>4</v>
      </c>
      <c r="B10" s="144">
        <f>15343.297+260+352+191</f>
        <v>16146.297</v>
      </c>
      <c r="C10" s="72">
        <v>4921</v>
      </c>
      <c r="D10" s="67">
        <v>496.4</v>
      </c>
      <c r="E10" s="67">
        <v>30.3</v>
      </c>
      <c r="F10" s="67">
        <v>101.3</v>
      </c>
      <c r="G10" s="67">
        <v>14</v>
      </c>
      <c r="H10" s="67">
        <v>241</v>
      </c>
      <c r="I10" s="67">
        <v>62</v>
      </c>
      <c r="J10" s="70">
        <v>596</v>
      </c>
      <c r="K10" s="67">
        <v>2209.2</v>
      </c>
      <c r="L10" s="72">
        <v>2782.9</v>
      </c>
      <c r="M10" s="67">
        <v>33</v>
      </c>
      <c r="N10" s="67">
        <v>3.8</v>
      </c>
      <c r="O10" s="71">
        <v>29.5</v>
      </c>
      <c r="P10" s="67">
        <v>6.9</v>
      </c>
      <c r="Q10" s="67">
        <v>18.4</v>
      </c>
      <c r="R10" s="67">
        <v>25.7</v>
      </c>
      <c r="S10" s="72">
        <v>13.2</v>
      </c>
      <c r="T10" s="72">
        <v>199.5</v>
      </c>
      <c r="U10" s="72"/>
      <c r="V10" s="72">
        <v>8134.6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14997.7</v>
      </c>
      <c r="AG10" s="72">
        <f>B10+C10-AF10</f>
        <v>6069.596999999998</v>
      </c>
      <c r="AH10" s="18"/>
    </row>
    <row r="11" spans="1:34" ht="15.75">
      <c r="A11" s="3" t="s">
        <v>5</v>
      </c>
      <c r="B11" s="144">
        <f>14535.475+191</f>
        <v>14726.475</v>
      </c>
      <c r="C11" s="72">
        <v>3453.0200000000004</v>
      </c>
      <c r="D11" s="67">
        <v>496.4</v>
      </c>
      <c r="E11" s="67">
        <v>25</v>
      </c>
      <c r="F11" s="67"/>
      <c r="G11" s="67">
        <v>11.9</v>
      </c>
      <c r="H11" s="67"/>
      <c r="I11" s="67">
        <v>23.7</v>
      </c>
      <c r="J11" s="72">
        <v>513.9</v>
      </c>
      <c r="K11" s="67">
        <v>2201.7</v>
      </c>
      <c r="L11" s="72">
        <v>2748.7</v>
      </c>
      <c r="M11" s="67">
        <v>2.9</v>
      </c>
      <c r="N11" s="67"/>
      <c r="O11" s="71">
        <v>27.9</v>
      </c>
      <c r="P11" s="67">
        <v>5.7</v>
      </c>
      <c r="Q11" s="67">
        <v>0.4</v>
      </c>
      <c r="R11" s="67"/>
      <c r="S11" s="72"/>
      <c r="T11" s="72"/>
      <c r="U11" s="72"/>
      <c r="V11" s="72">
        <v>8110.6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14168.8</v>
      </c>
      <c r="AG11" s="72">
        <f>B11+C11-AF11</f>
        <v>4010.6950000000033</v>
      </c>
      <c r="AH11" s="18"/>
    </row>
    <row r="12" spans="1:34" ht="15.75">
      <c r="A12" s="3" t="s">
        <v>2</v>
      </c>
      <c r="B12" s="149">
        <v>98.55</v>
      </c>
      <c r="C12" s="72">
        <v>277.19999999999993</v>
      </c>
      <c r="D12" s="67"/>
      <c r="E12" s="67">
        <v>0.7</v>
      </c>
      <c r="F12" s="67">
        <v>4.5</v>
      </c>
      <c r="G12" s="67"/>
      <c r="H12" s="67"/>
      <c r="I12" s="67">
        <v>1</v>
      </c>
      <c r="J12" s="72">
        <v>37</v>
      </c>
      <c r="K12" s="67"/>
      <c r="L12" s="72"/>
      <c r="M12" s="67"/>
      <c r="N12" s="67"/>
      <c r="O12" s="71"/>
      <c r="P12" s="67"/>
      <c r="Q12" s="67"/>
      <c r="R12" s="67"/>
      <c r="S12" s="72"/>
      <c r="T12" s="72">
        <v>52.4</v>
      </c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95.6</v>
      </c>
      <c r="AG12" s="72">
        <f>B12+C12-AF12</f>
        <v>280.15</v>
      </c>
      <c r="AH12" s="18"/>
    </row>
    <row r="13" spans="1:34" ht="15.75" hidden="1">
      <c r="A13" s="3" t="s">
        <v>16</v>
      </c>
      <c r="B13" s="144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144">
        <f>B10-B11-B12-B13</f>
        <v>1321.2720000000002</v>
      </c>
      <c r="C14" s="72">
        <v>1190.7799999999997</v>
      </c>
      <c r="D14" s="67">
        <f aca="true" t="shared" si="2" ref="D14:Y14">D10-D11-D12-D13</f>
        <v>0</v>
      </c>
      <c r="E14" s="67">
        <f t="shared" si="2"/>
        <v>4.6000000000000005</v>
      </c>
      <c r="F14" s="67">
        <f t="shared" si="2"/>
        <v>96.8</v>
      </c>
      <c r="G14" s="67">
        <f t="shared" si="2"/>
        <v>2.0999999999999996</v>
      </c>
      <c r="H14" s="67">
        <f t="shared" si="2"/>
        <v>241</v>
      </c>
      <c r="I14" s="67">
        <f t="shared" si="2"/>
        <v>37.3</v>
      </c>
      <c r="J14" s="72">
        <f t="shared" si="2"/>
        <v>45.10000000000002</v>
      </c>
      <c r="K14" s="67">
        <f t="shared" si="2"/>
        <v>7.5</v>
      </c>
      <c r="L14" s="72">
        <f t="shared" si="2"/>
        <v>34.20000000000027</v>
      </c>
      <c r="M14" s="67">
        <f t="shared" si="2"/>
        <v>30.1</v>
      </c>
      <c r="N14" s="67">
        <f t="shared" si="2"/>
        <v>3.8</v>
      </c>
      <c r="O14" s="67">
        <f t="shared" si="2"/>
        <v>1.6000000000000014</v>
      </c>
      <c r="P14" s="67">
        <f t="shared" si="2"/>
        <v>1.2000000000000002</v>
      </c>
      <c r="Q14" s="67">
        <f t="shared" si="2"/>
        <v>18</v>
      </c>
      <c r="R14" s="67">
        <f t="shared" si="2"/>
        <v>25.7</v>
      </c>
      <c r="S14" s="67">
        <f t="shared" si="2"/>
        <v>13.2</v>
      </c>
      <c r="T14" s="67">
        <f t="shared" si="2"/>
        <v>147.1</v>
      </c>
      <c r="U14" s="67">
        <f t="shared" si="2"/>
        <v>0</v>
      </c>
      <c r="V14" s="67">
        <f t="shared" si="2"/>
        <v>24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733.3000000000005</v>
      </c>
      <c r="AG14" s="72">
        <f>AG10-AG11-AG12-AG13</f>
        <v>1778.7519999999945</v>
      </c>
      <c r="AH14" s="18"/>
    </row>
    <row r="15" spans="1:35" ht="15" customHeight="1">
      <c r="A15" s="4" t="s">
        <v>6</v>
      </c>
      <c r="B15" s="144">
        <f>60436.77978+70</f>
        <v>60506.77978</v>
      </c>
      <c r="C15" s="72">
        <v>32370.059999999998</v>
      </c>
      <c r="D15" s="73"/>
      <c r="E15" s="73">
        <v>1</v>
      </c>
      <c r="F15" s="67"/>
      <c r="G15" s="67"/>
      <c r="H15" s="67">
        <v>294.9</v>
      </c>
      <c r="I15" s="67"/>
      <c r="J15" s="72">
        <v>385.1</v>
      </c>
      <c r="K15" s="67">
        <f>11878.7+9355.5</f>
        <v>21234.2</v>
      </c>
      <c r="L15" s="72">
        <v>280.9</v>
      </c>
      <c r="M15" s="67">
        <v>82.5</v>
      </c>
      <c r="N15" s="67">
        <v>606.6</v>
      </c>
      <c r="O15" s="71">
        <v>43.5</v>
      </c>
      <c r="P15" s="67">
        <v>958.6</v>
      </c>
      <c r="Q15" s="71">
        <v>873.8</v>
      </c>
      <c r="R15" s="67">
        <v>516.6</v>
      </c>
      <c r="S15" s="72">
        <v>886.6</v>
      </c>
      <c r="T15" s="72">
        <v>333.9</v>
      </c>
      <c r="U15" s="72"/>
      <c r="V15" s="72">
        <f>18847.4+12599.9</f>
        <v>31447.300000000003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57945.5</v>
      </c>
      <c r="AG15" s="72">
        <f aca="true" t="shared" si="3" ref="AG15:AG31">B15+C15-AF15</f>
        <v>34931.339779999995</v>
      </c>
      <c r="AH15" s="112"/>
      <c r="AI15" s="86"/>
    </row>
    <row r="16" spans="1:34" s="53" customFormat="1" ht="15" customHeight="1">
      <c r="A16" s="51" t="s">
        <v>38</v>
      </c>
      <c r="B16" s="152">
        <v>19179.6</v>
      </c>
      <c r="C16" s="76">
        <v>7229.1</v>
      </c>
      <c r="D16" s="74"/>
      <c r="E16" s="74">
        <v>0.5</v>
      </c>
      <c r="F16" s="75"/>
      <c r="G16" s="75"/>
      <c r="H16" s="75"/>
      <c r="I16" s="75"/>
      <c r="J16" s="76"/>
      <c r="K16" s="75">
        <v>9355.5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12599.9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21955.9</v>
      </c>
      <c r="AG16" s="115">
        <f t="shared" si="3"/>
        <v>4452.799999999996</v>
      </c>
      <c r="AH16" s="116"/>
    </row>
    <row r="17" spans="1:34" ht="15.75">
      <c r="A17" s="3" t="s">
        <v>5</v>
      </c>
      <c r="B17" s="144">
        <f>50645.2+295.3</f>
        <v>50940.5</v>
      </c>
      <c r="C17" s="72">
        <v>17006.219999999994</v>
      </c>
      <c r="D17" s="67"/>
      <c r="E17" s="67">
        <v>1</v>
      </c>
      <c r="F17" s="67"/>
      <c r="G17" s="67"/>
      <c r="H17" s="67"/>
      <c r="I17" s="67"/>
      <c r="J17" s="72"/>
      <c r="K17" s="67">
        <f>11639.1+9355.5</f>
        <v>20994.6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f>17852.2+12599.9</f>
        <v>30452.1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51447.7</v>
      </c>
      <c r="AG17" s="72">
        <f t="shared" si="3"/>
        <v>16499.020000000004</v>
      </c>
      <c r="AH17" s="21"/>
    </row>
    <row r="18" spans="1:34" ht="15.75">
      <c r="A18" s="3" t="s">
        <v>3</v>
      </c>
      <c r="B18" s="144">
        <v>20.8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>
        <v>3.4</v>
      </c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26.9</v>
      </c>
      <c r="AH18" s="18"/>
    </row>
    <row r="19" spans="1:34" ht="15.75">
      <c r="A19" s="3" t="s">
        <v>1</v>
      </c>
      <c r="B19" s="144">
        <f>4088.5-3003.1</f>
        <v>1085.4</v>
      </c>
      <c r="C19" s="72">
        <v>6789.1</v>
      </c>
      <c r="D19" s="67"/>
      <c r="E19" s="67"/>
      <c r="F19" s="67"/>
      <c r="G19" s="67"/>
      <c r="H19" s="67">
        <v>256.2</v>
      </c>
      <c r="I19" s="67"/>
      <c r="J19" s="72">
        <v>51.1</v>
      </c>
      <c r="K19" s="67"/>
      <c r="L19" s="72">
        <v>280.9</v>
      </c>
      <c r="M19" s="67">
        <v>48.1</v>
      </c>
      <c r="N19" s="67">
        <v>157.6</v>
      </c>
      <c r="O19" s="71"/>
      <c r="P19" s="67">
        <v>521.2</v>
      </c>
      <c r="Q19" s="71">
        <v>247.7</v>
      </c>
      <c r="R19" s="67">
        <v>188.5</v>
      </c>
      <c r="S19" s="72">
        <v>416.8</v>
      </c>
      <c r="T19" s="72">
        <v>97</v>
      </c>
      <c r="U19" s="72"/>
      <c r="V19" s="72">
        <v>484.1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2749.2000000000003</v>
      </c>
      <c r="AG19" s="72">
        <f t="shared" si="3"/>
        <v>5125.299999999999</v>
      </c>
      <c r="AH19" s="18"/>
    </row>
    <row r="20" spans="1:34" ht="15.75">
      <c r="A20" s="3" t="s">
        <v>2</v>
      </c>
      <c r="B20" s="144">
        <v>1428.3</v>
      </c>
      <c r="C20" s="72">
        <v>1248.5500000000002</v>
      </c>
      <c r="D20" s="67"/>
      <c r="E20" s="67"/>
      <c r="F20" s="67"/>
      <c r="G20" s="67"/>
      <c r="H20" s="67">
        <v>2.6</v>
      </c>
      <c r="I20" s="67"/>
      <c r="J20" s="72">
        <v>41.7</v>
      </c>
      <c r="K20" s="67">
        <v>145.2</v>
      </c>
      <c r="L20" s="72"/>
      <c r="M20" s="67"/>
      <c r="N20" s="67">
        <v>8.8</v>
      </c>
      <c r="O20" s="71">
        <v>32.7</v>
      </c>
      <c r="P20" s="67">
        <v>407.8</v>
      </c>
      <c r="Q20" s="71">
        <v>125.7</v>
      </c>
      <c r="R20" s="67">
        <v>72.9</v>
      </c>
      <c r="S20" s="72">
        <v>14.4</v>
      </c>
      <c r="T20" s="72">
        <v>10.6</v>
      </c>
      <c r="U20" s="72"/>
      <c r="V20" s="72">
        <v>12.8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875.1999999999999</v>
      </c>
      <c r="AG20" s="72">
        <f t="shared" si="3"/>
        <v>1801.6500000000005</v>
      </c>
      <c r="AH20" s="18"/>
    </row>
    <row r="21" spans="1:34" ht="15.75">
      <c r="A21" s="3" t="s">
        <v>16</v>
      </c>
      <c r="B21" s="144">
        <v>1279.5</v>
      </c>
      <c r="C21" s="72">
        <v>213.5999999999999</v>
      </c>
      <c r="D21" s="67"/>
      <c r="E21" s="67"/>
      <c r="F21" s="67"/>
      <c r="G21" s="67"/>
      <c r="H21" s="67"/>
      <c r="I21" s="67"/>
      <c r="J21" s="72"/>
      <c r="K21" s="67"/>
      <c r="L21" s="72"/>
      <c r="M21" s="67"/>
      <c r="N21" s="67">
        <f>86.9+44.2</f>
        <v>131.10000000000002</v>
      </c>
      <c r="O21" s="71"/>
      <c r="P21" s="67"/>
      <c r="Q21" s="71">
        <v>257.2</v>
      </c>
      <c r="R21" s="67">
        <f>154.8+13.2</f>
        <v>168</v>
      </c>
      <c r="S21" s="72"/>
      <c r="T21" s="72">
        <f>155.1+5.9</f>
        <v>161</v>
      </c>
      <c r="U21" s="67"/>
      <c r="V21" s="67">
        <v>268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985.3</v>
      </c>
      <c r="AG21" s="72">
        <f t="shared" si="3"/>
        <v>507.79999999999995</v>
      </c>
      <c r="AH21" s="18"/>
    </row>
    <row r="22" spans="1:34" ht="15.75" hidden="1">
      <c r="A22" s="3" t="s">
        <v>15</v>
      </c>
      <c r="B22" s="147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144">
        <f aca="true" t="shared" si="4" ref="B23:AD23">B15-B17-B18-B19-B20-B21-B22</f>
        <v>5752.279779999998</v>
      </c>
      <c r="C23" s="72">
        <v>7011.181000000004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36.09999999999999</v>
      </c>
      <c r="I23" s="67">
        <f t="shared" si="4"/>
        <v>0</v>
      </c>
      <c r="J23" s="72">
        <f t="shared" si="4"/>
        <v>292.3</v>
      </c>
      <c r="K23" s="67">
        <f t="shared" si="4"/>
        <v>94.4000000000022</v>
      </c>
      <c r="L23" s="72">
        <f t="shared" si="4"/>
        <v>0</v>
      </c>
      <c r="M23" s="67">
        <f t="shared" si="4"/>
        <v>34.4</v>
      </c>
      <c r="N23" s="67">
        <f t="shared" si="4"/>
        <v>305.7</v>
      </c>
      <c r="O23" s="67">
        <f t="shared" si="4"/>
        <v>10.799999999999997</v>
      </c>
      <c r="P23" s="67">
        <f t="shared" si="4"/>
        <v>29.599999999999966</v>
      </c>
      <c r="Q23" s="67">
        <f t="shared" si="4"/>
        <v>243.19999999999993</v>
      </c>
      <c r="R23" s="67">
        <f t="shared" si="4"/>
        <v>87.20000000000002</v>
      </c>
      <c r="S23" s="67">
        <f t="shared" si="4"/>
        <v>455.40000000000003</v>
      </c>
      <c r="T23" s="67">
        <f t="shared" si="4"/>
        <v>65.29999999999998</v>
      </c>
      <c r="U23" s="67">
        <f t="shared" si="4"/>
        <v>0</v>
      </c>
      <c r="V23" s="67">
        <f t="shared" si="4"/>
        <v>230.30000000000433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1884.7000000000062</v>
      </c>
      <c r="AG23" s="72">
        <f>B23+C23-AF23</f>
        <v>10878.760779999995</v>
      </c>
      <c r="AH23" s="18"/>
    </row>
    <row r="24" spans="1:35" ht="15" customHeight="1">
      <c r="A24" s="4" t="s">
        <v>7</v>
      </c>
      <c r="B24" s="144">
        <f>28232.621+589.9</f>
        <v>28822.521</v>
      </c>
      <c r="C24" s="72">
        <v>12498.699999999986</v>
      </c>
      <c r="D24" s="67"/>
      <c r="E24" s="67"/>
      <c r="F24" s="67"/>
      <c r="G24" s="67">
        <v>1.5</v>
      </c>
      <c r="H24" s="67">
        <f>405+813.9</f>
        <v>1218.9</v>
      </c>
      <c r="I24" s="67">
        <f>84.2+5.4</f>
        <v>89.60000000000001</v>
      </c>
      <c r="J24" s="72"/>
      <c r="K24" s="67">
        <f>556.4+8696.9</f>
        <v>9253.3</v>
      </c>
      <c r="L24" s="72"/>
      <c r="M24" s="67">
        <f>931.9+690.3</f>
        <v>1622.1999999999998</v>
      </c>
      <c r="N24" s="67">
        <f>3.9+267.3</f>
        <v>271.2</v>
      </c>
      <c r="O24" s="71"/>
      <c r="P24" s="67"/>
      <c r="Q24" s="71"/>
      <c r="R24" s="71"/>
      <c r="S24" s="72">
        <f>1684.3+3591.2</f>
        <v>5275.5</v>
      </c>
      <c r="T24" s="72">
        <f>7.7+1628.8</f>
        <v>1636.5</v>
      </c>
      <c r="U24" s="72"/>
      <c r="V24" s="72">
        <f>8145.7</f>
        <v>8145.7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27514.4</v>
      </c>
      <c r="AG24" s="72">
        <f t="shared" si="3"/>
        <v>13806.820999999989</v>
      </c>
      <c r="AH24" s="86"/>
      <c r="AI24" s="86"/>
    </row>
    <row r="25" spans="1:35" s="117" customFormat="1" ht="15" customHeight="1">
      <c r="A25" s="113" t="s">
        <v>39</v>
      </c>
      <c r="B25" s="152">
        <f>15694.8+589.9</f>
        <v>16284.699999999999</v>
      </c>
      <c r="C25" s="76">
        <v>267.8999999999978</v>
      </c>
      <c r="D25" s="76"/>
      <c r="E25" s="76"/>
      <c r="F25" s="76"/>
      <c r="G25" s="76">
        <v>1.5</v>
      </c>
      <c r="H25" s="76">
        <v>813.9</v>
      </c>
      <c r="I25" s="76">
        <v>5.4</v>
      </c>
      <c r="J25" s="76"/>
      <c r="K25" s="76">
        <v>8696.9</v>
      </c>
      <c r="L25" s="76"/>
      <c r="M25" s="76">
        <v>690.3</v>
      </c>
      <c r="N25" s="76">
        <v>267.3</v>
      </c>
      <c r="O25" s="76"/>
      <c r="P25" s="76"/>
      <c r="Q25" s="76"/>
      <c r="R25" s="76"/>
      <c r="S25" s="76">
        <v>3591.2</v>
      </c>
      <c r="T25" s="76">
        <v>1628.8</v>
      </c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15695.299999999996</v>
      </c>
      <c r="AG25" s="115">
        <f t="shared" si="3"/>
        <v>857.3000000000029</v>
      </c>
      <c r="AH25" s="116"/>
      <c r="AI25" s="142"/>
    </row>
    <row r="26" spans="1:34" ht="15.75" hidden="1">
      <c r="A26" s="3" t="s">
        <v>5</v>
      </c>
      <c r="B26" s="144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144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144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144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144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144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144">
        <f>B24</f>
        <v>28822.521</v>
      </c>
      <c r="C32" s="72">
        <v>12498.699999999986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1.5</v>
      </c>
      <c r="H32" s="67">
        <f t="shared" si="5"/>
        <v>1218.9</v>
      </c>
      <c r="I32" s="67">
        <f t="shared" si="5"/>
        <v>89.60000000000001</v>
      </c>
      <c r="J32" s="72">
        <f t="shared" si="5"/>
        <v>0</v>
      </c>
      <c r="K32" s="67">
        <f t="shared" si="5"/>
        <v>9253.3</v>
      </c>
      <c r="L32" s="72">
        <f t="shared" si="5"/>
        <v>0</v>
      </c>
      <c r="M32" s="67">
        <f t="shared" si="5"/>
        <v>1622.1999999999998</v>
      </c>
      <c r="N32" s="67">
        <f t="shared" si="5"/>
        <v>271.2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5275.5</v>
      </c>
      <c r="T32" s="67">
        <f t="shared" si="5"/>
        <v>1636.5</v>
      </c>
      <c r="U32" s="67">
        <f t="shared" si="5"/>
        <v>0</v>
      </c>
      <c r="V32" s="67">
        <f t="shared" si="5"/>
        <v>8145.7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27514.4</v>
      </c>
      <c r="AG32" s="72">
        <f>AG24</f>
        <v>13806.820999999989</v>
      </c>
    </row>
    <row r="33" spans="1:33" ht="15" customHeight="1">
      <c r="A33" s="4" t="s">
        <v>8</v>
      </c>
      <c r="B33" s="144">
        <f>288.06+47.5-1.9</f>
        <v>333.66</v>
      </c>
      <c r="C33" s="72">
        <v>2614.49</v>
      </c>
      <c r="D33" s="67"/>
      <c r="E33" s="67"/>
      <c r="F33" s="67">
        <v>1.2</v>
      </c>
      <c r="G33" s="67">
        <v>1073.1</v>
      </c>
      <c r="H33" s="67"/>
      <c r="I33" s="67"/>
      <c r="J33" s="72">
        <v>35</v>
      </c>
      <c r="K33" s="67">
        <v>47.8</v>
      </c>
      <c r="L33" s="72"/>
      <c r="M33" s="67"/>
      <c r="N33" s="67"/>
      <c r="O33" s="71">
        <v>97</v>
      </c>
      <c r="P33" s="67"/>
      <c r="Q33" s="71"/>
      <c r="R33" s="67">
        <v>9.5</v>
      </c>
      <c r="S33" s="72"/>
      <c r="T33" s="72">
        <f>3.6-1.2</f>
        <v>2.4000000000000004</v>
      </c>
      <c r="U33" s="72"/>
      <c r="V33" s="72">
        <v>238.1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1504.1</v>
      </c>
      <c r="AG33" s="72">
        <f aca="true" t="shared" si="6" ref="AG33:AG38">B33+C33-AF33</f>
        <v>1444.0499999999997</v>
      </c>
    </row>
    <row r="34" spans="1:33" ht="15.75">
      <c r="A34" s="3" t="s">
        <v>5</v>
      </c>
      <c r="B34" s="144">
        <v>259.1</v>
      </c>
      <c r="C34" s="72">
        <v>115.11999999999995</v>
      </c>
      <c r="D34" s="67"/>
      <c r="E34" s="67"/>
      <c r="F34" s="67"/>
      <c r="G34" s="67"/>
      <c r="H34" s="67"/>
      <c r="I34" s="67"/>
      <c r="J34" s="72">
        <v>34.6</v>
      </c>
      <c r="K34" s="67">
        <v>47.8</v>
      </c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>
        <v>164.9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247.3</v>
      </c>
      <c r="AG34" s="72">
        <f t="shared" si="6"/>
        <v>126.91999999999996</v>
      </c>
    </row>
    <row r="35" spans="1:33" ht="15.75">
      <c r="A35" s="3" t="s">
        <v>1</v>
      </c>
      <c r="B35" s="144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.75">
      <c r="A36" s="3" t="s">
        <v>2</v>
      </c>
      <c r="B36" s="147">
        <v>3.2</v>
      </c>
      <c r="C36" s="72">
        <v>17.9</v>
      </c>
      <c r="D36" s="67"/>
      <c r="E36" s="67"/>
      <c r="F36" s="67">
        <v>0.5</v>
      </c>
      <c r="G36" s="67"/>
      <c r="H36" s="67"/>
      <c r="I36" s="67"/>
      <c r="J36" s="72"/>
      <c r="K36" s="67"/>
      <c r="L36" s="72"/>
      <c r="M36" s="67"/>
      <c r="N36" s="72"/>
      <c r="O36" s="71"/>
      <c r="P36" s="67"/>
      <c r="Q36" s="71"/>
      <c r="R36" s="67"/>
      <c r="S36" s="72"/>
      <c r="T36" s="72"/>
      <c r="U36" s="67"/>
      <c r="V36" s="67">
        <v>0.1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0.6</v>
      </c>
      <c r="AG36" s="72">
        <f t="shared" si="6"/>
        <v>20.499999999999996</v>
      </c>
    </row>
    <row r="37" spans="1:33" ht="15.75">
      <c r="A37" s="3" t="s">
        <v>16</v>
      </c>
      <c r="B37" s="144">
        <v>0</v>
      </c>
      <c r="C37" s="72">
        <v>2133.664</v>
      </c>
      <c r="D37" s="67"/>
      <c r="E37" s="67"/>
      <c r="F37" s="67"/>
      <c r="G37" s="67">
        <v>850.5</v>
      </c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850.5</v>
      </c>
      <c r="AG37" s="72">
        <f t="shared" si="6"/>
        <v>1283.1640000000002</v>
      </c>
    </row>
    <row r="38" spans="1:33" ht="15.75" hidden="1">
      <c r="A38" s="3" t="s">
        <v>15</v>
      </c>
      <c r="B38" s="144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144">
        <f aca="true" t="shared" si="7" ref="B39:AD39">B33-B34-B36-B38-B37-B35</f>
        <v>71.36</v>
      </c>
      <c r="C39" s="72">
        <v>345.8199999999997</v>
      </c>
      <c r="D39" s="67">
        <f t="shared" si="7"/>
        <v>0</v>
      </c>
      <c r="E39" s="67">
        <f t="shared" si="7"/>
        <v>0</v>
      </c>
      <c r="F39" s="67">
        <f t="shared" si="7"/>
        <v>0.7</v>
      </c>
      <c r="G39" s="67">
        <f t="shared" si="7"/>
        <v>222.5999999999999</v>
      </c>
      <c r="H39" s="67">
        <f t="shared" si="7"/>
        <v>0</v>
      </c>
      <c r="I39" s="67">
        <f t="shared" si="7"/>
        <v>0</v>
      </c>
      <c r="J39" s="72">
        <f t="shared" si="7"/>
        <v>0.3999999999999986</v>
      </c>
      <c r="K39" s="67">
        <f t="shared" si="7"/>
        <v>0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97</v>
      </c>
      <c r="P39" s="67">
        <f t="shared" si="7"/>
        <v>0</v>
      </c>
      <c r="Q39" s="67">
        <f t="shared" si="7"/>
        <v>0</v>
      </c>
      <c r="R39" s="67">
        <f t="shared" si="7"/>
        <v>9.5</v>
      </c>
      <c r="S39" s="67">
        <f t="shared" si="7"/>
        <v>0</v>
      </c>
      <c r="T39" s="67">
        <f t="shared" si="7"/>
        <v>2.4000000000000004</v>
      </c>
      <c r="U39" s="67">
        <f t="shared" si="7"/>
        <v>0</v>
      </c>
      <c r="V39" s="67">
        <f t="shared" si="7"/>
        <v>73.1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405.69999999999993</v>
      </c>
      <c r="AG39" s="72">
        <f>AG33-AG34-AG36-AG38-AG35-AG37</f>
        <v>11.479999999999563</v>
      </c>
    </row>
    <row r="40" spans="1:33" ht="15" customHeight="1">
      <c r="A40" s="4" t="s">
        <v>29</v>
      </c>
      <c r="B40" s="144">
        <v>1078.062</v>
      </c>
      <c r="C40" s="72">
        <v>237.62999999999988</v>
      </c>
      <c r="D40" s="67"/>
      <c r="E40" s="67"/>
      <c r="F40" s="67"/>
      <c r="G40" s="67"/>
      <c r="H40" s="67"/>
      <c r="I40" s="67">
        <v>360.8</v>
      </c>
      <c r="J40" s="72"/>
      <c r="K40" s="67"/>
      <c r="L40" s="72"/>
      <c r="M40" s="67"/>
      <c r="N40" s="67"/>
      <c r="O40" s="71"/>
      <c r="P40" s="67"/>
      <c r="Q40" s="71"/>
      <c r="R40" s="71"/>
      <c r="S40" s="72"/>
      <c r="T40" s="72"/>
      <c r="U40" s="72"/>
      <c r="V40" s="72">
        <v>661.9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1022.7</v>
      </c>
      <c r="AG40" s="72">
        <f aca="true" t="shared" si="8" ref="AG40:AG45">B40+C40-AF40</f>
        <v>292.99199999999973</v>
      </c>
    </row>
    <row r="41" spans="1:34" ht="15.75">
      <c r="A41" s="3" t="s">
        <v>5</v>
      </c>
      <c r="B41" s="144">
        <v>1039.498</v>
      </c>
      <c r="C41" s="72">
        <v>142.48599999999988</v>
      </c>
      <c r="D41" s="67"/>
      <c r="E41" s="67"/>
      <c r="F41" s="67"/>
      <c r="G41" s="67"/>
      <c r="H41" s="67"/>
      <c r="I41" s="67">
        <v>318.9</v>
      </c>
      <c r="J41" s="72"/>
      <c r="K41" s="67"/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>
        <v>654.8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973.6999999999999</v>
      </c>
      <c r="AG41" s="72">
        <f t="shared" si="8"/>
        <v>208.284</v>
      </c>
      <c r="AH41" s="6"/>
    </row>
    <row r="42" spans="1:33" ht="15.75">
      <c r="A42" s="3" t="s">
        <v>3</v>
      </c>
      <c r="B42" s="144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.75">
      <c r="A43" s="3" t="s">
        <v>1</v>
      </c>
      <c r="B43" s="144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144">
        <v>6.864</v>
      </c>
      <c r="C44" s="72">
        <v>51.629999999999995</v>
      </c>
      <c r="D44" s="67"/>
      <c r="E44" s="67"/>
      <c r="F44" s="67"/>
      <c r="G44" s="67"/>
      <c r="H44" s="67"/>
      <c r="I44" s="67">
        <v>1</v>
      </c>
      <c r="J44" s="72"/>
      <c r="K44" s="67"/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>
        <v>5</v>
      </c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</v>
      </c>
      <c r="AG44" s="72">
        <f t="shared" si="8"/>
        <v>52.49399999999999</v>
      </c>
    </row>
    <row r="45" spans="1:33" ht="15.75" hidden="1">
      <c r="A45" s="3" t="s">
        <v>15</v>
      </c>
      <c r="B45" s="144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144">
        <f aca="true" t="shared" si="9" ref="B46:AD46">B40-B41-B42-B43-B44-B45</f>
        <v>31.69999999999985</v>
      </c>
      <c r="C46" s="72">
        <v>26.31400000000002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40.900000000000034</v>
      </c>
      <c r="J46" s="72">
        <f t="shared" si="9"/>
        <v>0</v>
      </c>
      <c r="K46" s="67">
        <f t="shared" si="9"/>
        <v>0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2.1000000000000227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43.00000000000006</v>
      </c>
      <c r="AG46" s="72">
        <f>AG40-AG41-AG42-AG43-AG44-AG45</f>
        <v>15.013999999999761</v>
      </c>
    </row>
    <row r="47" spans="1:33" ht="17.25" customHeight="1">
      <c r="A47" s="4" t="s">
        <v>43</v>
      </c>
      <c r="B47" s="149">
        <v>743</v>
      </c>
      <c r="C47" s="72">
        <v>1381.2942299999963</v>
      </c>
      <c r="D47" s="67"/>
      <c r="E47" s="79">
        <v>47.1</v>
      </c>
      <c r="F47" s="79">
        <v>155.3</v>
      </c>
      <c r="G47" s="79"/>
      <c r="H47" s="79">
        <v>34.5</v>
      </c>
      <c r="I47" s="79"/>
      <c r="J47" s="80">
        <v>57.7</v>
      </c>
      <c r="K47" s="79">
        <v>34.2</v>
      </c>
      <c r="L47" s="80">
        <v>61.3</v>
      </c>
      <c r="M47" s="79">
        <v>32.7</v>
      </c>
      <c r="N47" s="79"/>
      <c r="O47" s="81"/>
      <c r="P47" s="79">
        <v>18</v>
      </c>
      <c r="Q47" s="79">
        <v>77.1</v>
      </c>
      <c r="R47" s="79">
        <v>1.1</v>
      </c>
      <c r="S47" s="80">
        <v>85</v>
      </c>
      <c r="T47" s="80">
        <f>37.9+1.2</f>
        <v>39.1</v>
      </c>
      <c r="U47" s="79"/>
      <c r="V47" s="79">
        <v>54.7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697.8000000000001</v>
      </c>
      <c r="AG47" s="72">
        <f>B47+C47-AF47</f>
        <v>1426.4942299999962</v>
      </c>
    </row>
    <row r="48" spans="1:33" ht="15.75">
      <c r="A48" s="3" t="s">
        <v>5</v>
      </c>
      <c r="B48" s="144">
        <v>36.375</v>
      </c>
      <c r="C48" s="72">
        <v>62.574999999999996</v>
      </c>
      <c r="D48" s="67"/>
      <c r="E48" s="79"/>
      <c r="F48" s="79"/>
      <c r="G48" s="79"/>
      <c r="H48" s="79"/>
      <c r="I48" s="79"/>
      <c r="J48" s="80"/>
      <c r="K48" s="79"/>
      <c r="L48" s="80">
        <v>19.7</v>
      </c>
      <c r="M48" s="79"/>
      <c r="N48" s="79"/>
      <c r="O48" s="81"/>
      <c r="P48" s="79"/>
      <c r="Q48" s="79"/>
      <c r="R48" s="79"/>
      <c r="S48" s="80"/>
      <c r="T48" s="80"/>
      <c r="U48" s="79"/>
      <c r="V48" s="79">
        <v>20.2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39.9</v>
      </c>
      <c r="AG48" s="72">
        <f>B48+C48-AF48</f>
        <v>59.04999999999999</v>
      </c>
    </row>
    <row r="49" spans="1:33" ht="15.75">
      <c r="A49" s="3" t="s">
        <v>16</v>
      </c>
      <c r="B49" s="144">
        <f>511.7019+50.6</f>
        <v>562.3019</v>
      </c>
      <c r="C49" s="72">
        <v>808.6720000000001</v>
      </c>
      <c r="D49" s="67"/>
      <c r="E49" s="67"/>
      <c r="F49" s="67">
        <v>146.5</v>
      </c>
      <c r="G49" s="67"/>
      <c r="H49" s="67">
        <v>34.5</v>
      </c>
      <c r="I49" s="67"/>
      <c r="J49" s="72">
        <v>57.7</v>
      </c>
      <c r="K49" s="67">
        <v>34.2</v>
      </c>
      <c r="L49" s="72">
        <v>41.6</v>
      </c>
      <c r="M49" s="67">
        <v>16.3</v>
      </c>
      <c r="N49" s="67"/>
      <c r="O49" s="71"/>
      <c r="P49" s="67"/>
      <c r="Q49" s="67">
        <v>77.1</v>
      </c>
      <c r="R49" s="67"/>
      <c r="S49" s="72">
        <v>85</v>
      </c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492.9</v>
      </c>
      <c r="AG49" s="72">
        <f>B49+C49-AF49</f>
        <v>878.0739000000002</v>
      </c>
    </row>
    <row r="50" spans="1:33" ht="30" hidden="1">
      <c r="A50" s="49" t="s">
        <v>34</v>
      </c>
      <c r="B50" s="144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144">
        <f>B47-B48-B49</f>
        <v>144.32309999999995</v>
      </c>
      <c r="C51" s="72">
        <v>510.0472299999962</v>
      </c>
      <c r="D51" s="67">
        <f aca="true" t="shared" si="10" ref="D51:AD51">D47-D48-D49</f>
        <v>0</v>
      </c>
      <c r="E51" s="67">
        <f t="shared" si="10"/>
        <v>47.1</v>
      </c>
      <c r="F51" s="67">
        <f t="shared" si="10"/>
        <v>8.800000000000011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0</v>
      </c>
      <c r="M51" s="67">
        <f t="shared" si="10"/>
        <v>16.400000000000002</v>
      </c>
      <c r="N51" s="67">
        <f t="shared" si="10"/>
        <v>0</v>
      </c>
      <c r="O51" s="67">
        <f t="shared" si="10"/>
        <v>0</v>
      </c>
      <c r="P51" s="67">
        <f t="shared" si="10"/>
        <v>18</v>
      </c>
      <c r="Q51" s="67">
        <f t="shared" si="10"/>
        <v>0</v>
      </c>
      <c r="R51" s="67">
        <f t="shared" si="10"/>
        <v>1.1</v>
      </c>
      <c r="S51" s="67">
        <f t="shared" si="10"/>
        <v>0</v>
      </c>
      <c r="T51" s="67">
        <f t="shared" si="10"/>
        <v>39.1</v>
      </c>
      <c r="U51" s="67">
        <f t="shared" si="10"/>
        <v>0</v>
      </c>
      <c r="V51" s="67">
        <f t="shared" si="10"/>
        <v>34.5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165</v>
      </c>
      <c r="AG51" s="72">
        <f>AG47-AG49-AG48</f>
        <v>489.37032999999593</v>
      </c>
    </row>
    <row r="52" spans="1:33" ht="15" customHeight="1">
      <c r="A52" s="4" t="s">
        <v>0</v>
      </c>
      <c r="B52" s="144">
        <f>4439.2-1414.2-2161</f>
        <v>864</v>
      </c>
      <c r="C52" s="72">
        <v>5282.412260000001</v>
      </c>
      <c r="D52" s="67"/>
      <c r="E52" s="67"/>
      <c r="F52" s="67">
        <v>38.7</v>
      </c>
      <c r="G52" s="67">
        <v>98.7</v>
      </c>
      <c r="H52" s="67">
        <v>284.7</v>
      </c>
      <c r="I52" s="67"/>
      <c r="J52" s="72">
        <v>242.7</v>
      </c>
      <c r="K52" s="67">
        <v>541.8</v>
      </c>
      <c r="L52" s="72">
        <v>85.7</v>
      </c>
      <c r="M52" s="67"/>
      <c r="N52" s="67">
        <v>94.9</v>
      </c>
      <c r="O52" s="71"/>
      <c r="P52" s="67">
        <v>1.8</v>
      </c>
      <c r="Q52" s="67">
        <v>448.7</v>
      </c>
      <c r="R52" s="67"/>
      <c r="S52" s="72">
        <v>305.1</v>
      </c>
      <c r="T52" s="72">
        <v>649.5</v>
      </c>
      <c r="U52" s="72"/>
      <c r="V52" s="72">
        <v>274.8</v>
      </c>
      <c r="W52" s="72">
        <v>-124.1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2943.0000000000005</v>
      </c>
      <c r="AG52" s="72">
        <f aca="true" t="shared" si="11" ref="AG52:AG59">B52+C52-AF52</f>
        <v>3203.4122600000005</v>
      </c>
    </row>
    <row r="53" spans="1:33" ht="15" customHeight="1">
      <c r="A53" s="3" t="s">
        <v>2</v>
      </c>
      <c r="B53" s="144">
        <v>953.173</v>
      </c>
      <c r="C53" s="72">
        <v>239.30100000000004</v>
      </c>
      <c r="D53" s="67"/>
      <c r="E53" s="67"/>
      <c r="F53" s="67">
        <v>32.4</v>
      </c>
      <c r="G53" s="67"/>
      <c r="H53" s="67"/>
      <c r="I53" s="67"/>
      <c r="J53" s="72">
        <v>38.7</v>
      </c>
      <c r="K53" s="67"/>
      <c r="L53" s="72">
        <v>3.5</v>
      </c>
      <c r="M53" s="67"/>
      <c r="N53" s="67">
        <v>1</v>
      </c>
      <c r="O53" s="71"/>
      <c r="P53" s="67">
        <v>0.1</v>
      </c>
      <c r="Q53" s="67"/>
      <c r="R53" s="67"/>
      <c r="S53" s="72"/>
      <c r="T53" s="72"/>
      <c r="U53" s="72"/>
      <c r="V53" s="72">
        <v>88.2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163.89999999999998</v>
      </c>
      <c r="AG53" s="72">
        <f t="shared" si="11"/>
        <v>1028.574</v>
      </c>
    </row>
    <row r="54" spans="1:34" ht="15" customHeight="1">
      <c r="A54" s="4" t="s">
        <v>9</v>
      </c>
      <c r="B54" s="147">
        <f>1995.594+81.6</f>
        <v>2077.194</v>
      </c>
      <c r="C54" s="72">
        <v>1502.44</v>
      </c>
      <c r="D54" s="67"/>
      <c r="E54" s="67">
        <v>30</v>
      </c>
      <c r="F54" s="67">
        <v>317.5</v>
      </c>
      <c r="G54" s="67">
        <v>203</v>
      </c>
      <c r="H54" s="67">
        <v>26.4</v>
      </c>
      <c r="I54" s="67"/>
      <c r="J54" s="72"/>
      <c r="K54" s="67">
        <v>336.5</v>
      </c>
      <c r="L54" s="72">
        <v>22.9</v>
      </c>
      <c r="M54" s="67"/>
      <c r="N54" s="67">
        <v>137.2</v>
      </c>
      <c r="O54" s="71">
        <v>211.7</v>
      </c>
      <c r="P54" s="67">
        <v>90.6</v>
      </c>
      <c r="Q54" s="71">
        <v>2.4</v>
      </c>
      <c r="R54" s="67"/>
      <c r="S54" s="72">
        <v>18.1</v>
      </c>
      <c r="T54" s="72"/>
      <c r="U54" s="72"/>
      <c r="V54" s="72">
        <v>542.3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1938.6</v>
      </c>
      <c r="AG54" s="72">
        <f t="shared" si="11"/>
        <v>1641.034</v>
      </c>
      <c r="AH54" s="6"/>
    </row>
    <row r="55" spans="1:34" ht="15.75">
      <c r="A55" s="3" t="s">
        <v>5</v>
      </c>
      <c r="B55" s="144">
        <f>1084.067+40</f>
        <v>1124.067</v>
      </c>
      <c r="C55" s="72">
        <v>368.2069999999999</v>
      </c>
      <c r="D55" s="67"/>
      <c r="E55" s="67"/>
      <c r="F55" s="67">
        <v>71.8</v>
      </c>
      <c r="G55" s="67"/>
      <c r="H55" s="67"/>
      <c r="I55" s="67"/>
      <c r="J55" s="72"/>
      <c r="K55" s="67">
        <v>336.5</v>
      </c>
      <c r="L55" s="72">
        <v>18.5</v>
      </c>
      <c r="M55" s="67"/>
      <c r="N55" s="67"/>
      <c r="O55" s="71">
        <v>2.5</v>
      </c>
      <c r="P55" s="67"/>
      <c r="Q55" s="71"/>
      <c r="R55" s="67"/>
      <c r="S55" s="72"/>
      <c r="T55" s="72"/>
      <c r="U55" s="72"/>
      <c r="V55" s="72">
        <v>155.1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584.4</v>
      </c>
      <c r="AG55" s="72">
        <f t="shared" si="11"/>
        <v>907.8739999999999</v>
      </c>
      <c r="AH55" s="6"/>
    </row>
    <row r="56" spans="1:34" ht="15" customHeight="1">
      <c r="A56" s="3" t="s">
        <v>1</v>
      </c>
      <c r="B56" s="144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149">
        <v>17.537</v>
      </c>
      <c r="C57" s="72">
        <v>46.536000000000115</v>
      </c>
      <c r="D57" s="72"/>
      <c r="E57" s="72"/>
      <c r="F57" s="72"/>
      <c r="G57" s="72"/>
      <c r="H57" s="72"/>
      <c r="I57" s="72"/>
      <c r="J57" s="72"/>
      <c r="K57" s="72"/>
      <c r="L57" s="72">
        <v>2.5</v>
      </c>
      <c r="M57" s="72"/>
      <c r="N57" s="72"/>
      <c r="O57" s="72"/>
      <c r="P57" s="72">
        <v>0.2</v>
      </c>
      <c r="Q57" s="72"/>
      <c r="R57" s="72"/>
      <c r="S57" s="72">
        <v>2.6</v>
      </c>
      <c r="T57" s="72"/>
      <c r="U57" s="72"/>
      <c r="V57" s="72">
        <v>6.1</v>
      </c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11.4</v>
      </c>
      <c r="AG57" s="72">
        <f t="shared" si="11"/>
        <v>52.67300000000012</v>
      </c>
    </row>
    <row r="58" spans="1:33" ht="15.75">
      <c r="A58" s="3" t="s">
        <v>16</v>
      </c>
      <c r="B58" s="149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144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144">
        <f aca="true" t="shared" si="12" ref="B60:AD60">B54-B55-B57-B59-B56-B58</f>
        <v>935.5899999999999</v>
      </c>
      <c r="C60" s="72">
        <v>1087.6970000000001</v>
      </c>
      <c r="D60" s="67">
        <f t="shared" si="12"/>
        <v>0</v>
      </c>
      <c r="E60" s="67">
        <f>E54-E55-E57-E59-E56-E58</f>
        <v>30</v>
      </c>
      <c r="F60" s="67">
        <f t="shared" si="12"/>
        <v>245.7</v>
      </c>
      <c r="G60" s="67">
        <f t="shared" si="12"/>
        <v>203</v>
      </c>
      <c r="H60" s="67">
        <f t="shared" si="12"/>
        <v>26.4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1.8999999999999986</v>
      </c>
      <c r="M60" s="67">
        <f t="shared" si="12"/>
        <v>0</v>
      </c>
      <c r="N60" s="67">
        <f t="shared" si="12"/>
        <v>137.2</v>
      </c>
      <c r="O60" s="67">
        <f t="shared" si="12"/>
        <v>209.2</v>
      </c>
      <c r="P60" s="67">
        <f t="shared" si="12"/>
        <v>90.39999999999999</v>
      </c>
      <c r="Q60" s="67">
        <f t="shared" si="12"/>
        <v>2.4</v>
      </c>
      <c r="R60" s="67">
        <f t="shared" si="12"/>
        <v>0</v>
      </c>
      <c r="S60" s="67">
        <f t="shared" si="12"/>
        <v>15.500000000000002</v>
      </c>
      <c r="T60" s="67">
        <f t="shared" si="12"/>
        <v>0</v>
      </c>
      <c r="U60" s="67">
        <f t="shared" si="12"/>
        <v>0</v>
      </c>
      <c r="V60" s="67">
        <f t="shared" si="12"/>
        <v>381.0999999999999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1342.7999999999997</v>
      </c>
      <c r="AG60" s="72">
        <f>AG54-AG55-AG57-AG59-AG56-AG58</f>
        <v>680.4870000000001</v>
      </c>
    </row>
    <row r="61" spans="1:33" ht="15" customHeight="1">
      <c r="A61" s="4" t="s">
        <v>10</v>
      </c>
      <c r="B61" s="144">
        <f>87.5-191</f>
        <v>-103.5</v>
      </c>
      <c r="C61" s="72">
        <v>796.4</v>
      </c>
      <c r="D61" s="67"/>
      <c r="E61" s="67"/>
      <c r="F61" s="67"/>
      <c r="G61" s="67"/>
      <c r="H61" s="67">
        <v>22</v>
      </c>
      <c r="I61" s="67"/>
      <c r="J61" s="72"/>
      <c r="K61" s="67"/>
      <c r="L61" s="72"/>
      <c r="M61" s="67"/>
      <c r="N61" s="67"/>
      <c r="O61" s="71"/>
      <c r="P61" s="67"/>
      <c r="Q61" s="71">
        <v>2.4</v>
      </c>
      <c r="R61" s="67">
        <v>8</v>
      </c>
      <c r="S61" s="72"/>
      <c r="T61" s="72">
        <v>14.4</v>
      </c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46.8</v>
      </c>
      <c r="AG61" s="72">
        <f aca="true" t="shared" si="14" ref="AG61:AG67">B61+C61-AF61</f>
        <v>646.1</v>
      </c>
    </row>
    <row r="62" spans="1:33" s="18" customFormat="1" ht="15" customHeight="1">
      <c r="A62" s="108" t="s">
        <v>11</v>
      </c>
      <c r="B62" s="144">
        <f>2976+7.1-47.5+1.8</f>
        <v>2937.4</v>
      </c>
      <c r="C62" s="72">
        <v>4542</v>
      </c>
      <c r="D62" s="72"/>
      <c r="E62" s="72"/>
      <c r="F62" s="72">
        <v>7.7</v>
      </c>
      <c r="G62" s="72"/>
      <c r="H62" s="72">
        <v>244.3</v>
      </c>
      <c r="I62" s="72"/>
      <c r="J62" s="72"/>
      <c r="K62" s="72">
        <v>848.4</v>
      </c>
      <c r="L62" s="72">
        <v>2</v>
      </c>
      <c r="M62" s="72"/>
      <c r="N62" s="72"/>
      <c r="O62" s="72">
        <v>140.3</v>
      </c>
      <c r="P62" s="72"/>
      <c r="Q62" s="72"/>
      <c r="R62" s="72">
        <v>10.4</v>
      </c>
      <c r="S62" s="72"/>
      <c r="T62" s="72"/>
      <c r="U62" s="72"/>
      <c r="V62" s="72">
        <v>1785.5</v>
      </c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3038.6000000000004</v>
      </c>
      <c r="AG62" s="72">
        <f t="shared" si="14"/>
        <v>4440.799999999999</v>
      </c>
    </row>
    <row r="63" spans="1:34" ht="15.75">
      <c r="A63" s="3" t="s">
        <v>5</v>
      </c>
      <c r="B63" s="144">
        <f>1591.245+23.1</f>
        <v>1614.3449999999998</v>
      </c>
      <c r="C63" s="72">
        <v>1341.4040000000007</v>
      </c>
      <c r="D63" s="67"/>
      <c r="E63" s="67"/>
      <c r="F63" s="67"/>
      <c r="G63" s="67"/>
      <c r="H63" s="67"/>
      <c r="I63" s="67"/>
      <c r="J63" s="72"/>
      <c r="K63" s="67">
        <v>716.3</v>
      </c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>
        <v>1140.3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1856.6</v>
      </c>
      <c r="AG63" s="72">
        <f t="shared" si="14"/>
        <v>1099.1490000000008</v>
      </c>
      <c r="AH63" s="121"/>
    </row>
    <row r="64" spans="1:34" ht="15.75">
      <c r="A64" s="3" t="s">
        <v>3</v>
      </c>
      <c r="B64" s="144">
        <v>4.1</v>
      </c>
      <c r="C64" s="72">
        <v>1.4</v>
      </c>
      <c r="D64" s="67"/>
      <c r="E64" s="67"/>
      <c r="F64" s="67"/>
      <c r="G64" s="67"/>
      <c r="H64" s="67">
        <v>1</v>
      </c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1</v>
      </c>
      <c r="AG64" s="72">
        <f t="shared" si="14"/>
        <v>4.5</v>
      </c>
      <c r="AH64" s="6"/>
    </row>
    <row r="65" spans="1:34" ht="15.75">
      <c r="A65" s="3" t="s">
        <v>1</v>
      </c>
      <c r="B65" s="144">
        <f>99.15+28.8</f>
        <v>127.95</v>
      </c>
      <c r="C65" s="72">
        <v>107.4</v>
      </c>
      <c r="D65" s="67"/>
      <c r="E65" s="67"/>
      <c r="F65" s="67"/>
      <c r="G65" s="67"/>
      <c r="H65" s="67">
        <v>16.2</v>
      </c>
      <c r="I65" s="67"/>
      <c r="J65" s="72"/>
      <c r="K65" s="67"/>
      <c r="L65" s="72"/>
      <c r="M65" s="67"/>
      <c r="N65" s="67"/>
      <c r="O65" s="71"/>
      <c r="P65" s="67"/>
      <c r="Q65" s="71"/>
      <c r="R65" s="67"/>
      <c r="S65" s="72"/>
      <c r="T65" s="72"/>
      <c r="U65" s="72"/>
      <c r="V65" s="72">
        <v>64.8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81</v>
      </c>
      <c r="AG65" s="72">
        <f t="shared" si="14"/>
        <v>154.35000000000002</v>
      </c>
      <c r="AH65" s="6"/>
    </row>
    <row r="66" spans="1:33" ht="15.75">
      <c r="A66" s="3" t="s">
        <v>2</v>
      </c>
      <c r="B66" s="144">
        <v>36.685</v>
      </c>
      <c r="C66" s="72">
        <v>145.445</v>
      </c>
      <c r="D66" s="67"/>
      <c r="E66" s="67"/>
      <c r="F66" s="67"/>
      <c r="G66" s="67"/>
      <c r="H66" s="67">
        <v>1.7</v>
      </c>
      <c r="I66" s="67"/>
      <c r="J66" s="72"/>
      <c r="K66" s="67"/>
      <c r="L66" s="72">
        <v>0.2</v>
      </c>
      <c r="M66" s="67"/>
      <c r="N66" s="67"/>
      <c r="O66" s="71">
        <v>0.8</v>
      </c>
      <c r="P66" s="67"/>
      <c r="Q66" s="67"/>
      <c r="R66" s="67"/>
      <c r="S66" s="72"/>
      <c r="T66" s="72"/>
      <c r="U66" s="72"/>
      <c r="V66" s="72">
        <v>20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22.7</v>
      </c>
      <c r="AG66" s="72">
        <f t="shared" si="14"/>
        <v>159.43</v>
      </c>
    </row>
    <row r="67" spans="1:33" ht="15.75">
      <c r="A67" s="3" t="s">
        <v>16</v>
      </c>
      <c r="B67" s="144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>
        <v>110</v>
      </c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144">
        <f>B62-B63-B66-B67-B65-B64</f>
        <v>1044.3200000000004</v>
      </c>
      <c r="C68" s="72">
        <v>2946.350999999999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7.7</v>
      </c>
      <c r="G68" s="67">
        <f t="shared" si="15"/>
        <v>0</v>
      </c>
      <c r="H68" s="67">
        <f t="shared" si="15"/>
        <v>225.40000000000003</v>
      </c>
      <c r="I68" s="67">
        <f t="shared" si="15"/>
        <v>0</v>
      </c>
      <c r="J68" s="72">
        <f t="shared" si="15"/>
        <v>0</v>
      </c>
      <c r="K68" s="67">
        <f t="shared" si="15"/>
        <v>132.10000000000002</v>
      </c>
      <c r="L68" s="72">
        <f t="shared" si="15"/>
        <v>1.8</v>
      </c>
      <c r="M68" s="67">
        <f t="shared" si="15"/>
        <v>0</v>
      </c>
      <c r="N68" s="67">
        <f t="shared" si="15"/>
        <v>0</v>
      </c>
      <c r="O68" s="67">
        <f t="shared" si="15"/>
        <v>139.5</v>
      </c>
      <c r="P68" s="67">
        <f t="shared" si="15"/>
        <v>0</v>
      </c>
      <c r="Q68" s="67">
        <f t="shared" si="15"/>
        <v>0</v>
      </c>
      <c r="R68" s="67">
        <f t="shared" si="15"/>
        <v>10.4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450.40000000000003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967.3000000000002</v>
      </c>
      <c r="AG68" s="72">
        <f>AG62-AG63-AG66-AG67-AG65-AG64</f>
        <v>3023.3709999999987</v>
      </c>
    </row>
    <row r="69" spans="1:33" ht="31.5">
      <c r="A69" s="4" t="s">
        <v>45</v>
      </c>
      <c r="B69" s="144">
        <f>3134.2+1580</f>
        <v>4714.2</v>
      </c>
      <c r="C69" s="72">
        <v>18.238999999999578</v>
      </c>
      <c r="D69" s="67"/>
      <c r="E69" s="67"/>
      <c r="F69" s="67"/>
      <c r="G69" s="67"/>
      <c r="H69" s="67"/>
      <c r="I69" s="67"/>
      <c r="J69" s="72"/>
      <c r="K69" s="67"/>
      <c r="L69" s="72">
        <v>2083.6</v>
      </c>
      <c r="M69" s="67"/>
      <c r="N69" s="67"/>
      <c r="O69" s="67">
        <v>2630.6</v>
      </c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4714.2</v>
      </c>
      <c r="AG69" s="130">
        <f aca="true" t="shared" si="16" ref="AG69:AG92">B69+C69-AF69</f>
        <v>18.238999999999578</v>
      </c>
    </row>
    <row r="70" spans="1:33" ht="15.75" hidden="1">
      <c r="A70" s="4" t="s">
        <v>32</v>
      </c>
      <c r="B70" s="144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44">
        <f>1314.6-2000</f>
        <v>-685.4000000000001</v>
      </c>
      <c r="C71" s="80">
        <v>1590.3999999999999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904.9999999999998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47">
        <f>791.8-20.9-130</f>
        <v>640.9</v>
      </c>
      <c r="C72" s="72">
        <v>3702.1000000000004</v>
      </c>
      <c r="D72" s="67"/>
      <c r="E72" s="67">
        <v>167.7</v>
      </c>
      <c r="F72" s="67">
        <v>6.1</v>
      </c>
      <c r="G72" s="67">
        <v>2.4</v>
      </c>
      <c r="H72" s="67">
        <v>2.7</v>
      </c>
      <c r="I72" s="67"/>
      <c r="J72" s="72">
        <v>27.7</v>
      </c>
      <c r="K72" s="67">
        <v>5.3</v>
      </c>
      <c r="L72" s="72"/>
      <c r="M72" s="67">
        <f>121.2-40.4</f>
        <v>80.80000000000001</v>
      </c>
      <c r="N72" s="67">
        <v>0.8</v>
      </c>
      <c r="O72" s="67">
        <v>26.7</v>
      </c>
      <c r="P72" s="67">
        <v>4.8</v>
      </c>
      <c r="Q72" s="71"/>
      <c r="R72" s="67">
        <v>15.1</v>
      </c>
      <c r="S72" s="72">
        <v>0.5</v>
      </c>
      <c r="T72" s="72">
        <f>256.1-57.2</f>
        <v>198.90000000000003</v>
      </c>
      <c r="U72" s="72"/>
      <c r="V72" s="72">
        <v>54.7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594.2</v>
      </c>
      <c r="AG72" s="130">
        <f t="shared" si="16"/>
        <v>3748.8</v>
      </c>
      <c r="AH72" s="86">
        <f>AG72+AG69+AG76+AG91+AG83+AG88</f>
        <v>4534.07925</v>
      </c>
    </row>
    <row r="73" spans="1:33" ht="15" customHeight="1">
      <c r="A73" s="3" t="s">
        <v>5</v>
      </c>
      <c r="B73" s="144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</v>
      </c>
    </row>
    <row r="74" spans="1:33" ht="15" customHeight="1">
      <c r="A74" s="3" t="s">
        <v>2</v>
      </c>
      <c r="B74" s="144">
        <f>25.8+77.3</f>
        <v>103.1</v>
      </c>
      <c r="C74" s="72">
        <v>500</v>
      </c>
      <c r="D74" s="67"/>
      <c r="E74" s="67">
        <v>46.3</v>
      </c>
      <c r="F74" s="67">
        <v>0.3</v>
      </c>
      <c r="G74" s="67">
        <v>2.4</v>
      </c>
      <c r="H74" s="67"/>
      <c r="I74" s="67"/>
      <c r="J74" s="72">
        <v>24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73</v>
      </c>
      <c r="AG74" s="130">
        <f t="shared" si="16"/>
        <v>530.1</v>
      </c>
    </row>
    <row r="75" spans="1:33" ht="15" customHeight="1">
      <c r="A75" s="3" t="s">
        <v>16</v>
      </c>
      <c r="B75" s="144">
        <f>124.1+12</f>
        <v>136.1</v>
      </c>
      <c r="C75" s="72">
        <v>270.7</v>
      </c>
      <c r="D75" s="67"/>
      <c r="E75" s="67"/>
      <c r="F75" s="67"/>
      <c r="G75" s="67"/>
      <c r="H75" s="67"/>
      <c r="I75" s="67"/>
      <c r="J75" s="72"/>
      <c r="K75" s="67">
        <v>3.6</v>
      </c>
      <c r="L75" s="72"/>
      <c r="M75" s="67">
        <v>6</v>
      </c>
      <c r="N75" s="67"/>
      <c r="O75" s="67"/>
      <c r="P75" s="67"/>
      <c r="Q75" s="71"/>
      <c r="R75" s="67"/>
      <c r="S75" s="72"/>
      <c r="T75" s="72">
        <v>7.4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17</v>
      </c>
      <c r="AG75" s="130">
        <f t="shared" si="16"/>
        <v>389.79999999999995</v>
      </c>
    </row>
    <row r="76" spans="1:35" s="11" customFormat="1" ht="15.75">
      <c r="A76" s="12" t="s">
        <v>48</v>
      </c>
      <c r="B76" s="144">
        <f>79.999+139.88125</f>
        <v>219.88025</v>
      </c>
      <c r="C76" s="72">
        <v>119.55999999999989</v>
      </c>
      <c r="D76" s="67"/>
      <c r="E76" s="79"/>
      <c r="F76" s="79">
        <v>10.5</v>
      </c>
      <c r="G76" s="79"/>
      <c r="H76" s="79">
        <v>20.5</v>
      </c>
      <c r="I76" s="79"/>
      <c r="J76" s="80">
        <v>56.2</v>
      </c>
      <c r="K76" s="79"/>
      <c r="L76" s="80"/>
      <c r="M76" s="79">
        <v>40.3</v>
      </c>
      <c r="N76" s="79"/>
      <c r="O76" s="79">
        <v>19.4</v>
      </c>
      <c r="P76" s="79"/>
      <c r="Q76" s="81"/>
      <c r="R76" s="79"/>
      <c r="S76" s="80">
        <v>18.3</v>
      </c>
      <c r="T76" s="80">
        <v>57.2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222.40000000000003</v>
      </c>
      <c r="AG76" s="130">
        <f t="shared" si="16"/>
        <v>117.04024999999984</v>
      </c>
      <c r="AI76" s="128"/>
    </row>
    <row r="77" spans="1:33" s="11" customFormat="1" ht="15.75">
      <c r="A77" s="3" t="s">
        <v>5</v>
      </c>
      <c r="B77" s="144">
        <v>110.4</v>
      </c>
      <c r="C77" s="72">
        <v>11.299999999999983</v>
      </c>
      <c r="D77" s="67"/>
      <c r="E77" s="79"/>
      <c r="F77" s="79">
        <v>10.5</v>
      </c>
      <c r="G77" s="79"/>
      <c r="H77" s="79"/>
      <c r="I77" s="79"/>
      <c r="J77" s="80">
        <v>37.7</v>
      </c>
      <c r="K77" s="79"/>
      <c r="L77" s="80"/>
      <c r="M77" s="79"/>
      <c r="N77" s="79"/>
      <c r="O77" s="79">
        <v>14.2</v>
      </c>
      <c r="P77" s="79"/>
      <c r="Q77" s="81"/>
      <c r="R77" s="79"/>
      <c r="S77" s="80"/>
      <c r="T77" s="80">
        <v>56.6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119</v>
      </c>
      <c r="AG77" s="130">
        <f t="shared" si="16"/>
        <v>2.6999999999999886</v>
      </c>
    </row>
    <row r="78" spans="1:33" s="11" customFormat="1" ht="15.75" hidden="1">
      <c r="A78" s="3" t="s">
        <v>3</v>
      </c>
      <c r="B78" s="144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44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44">
        <v>0.5</v>
      </c>
      <c r="C80" s="72">
        <v>12.3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12.8</v>
      </c>
    </row>
    <row r="81" spans="1:33" s="11" customFormat="1" ht="15.75">
      <c r="A81" s="12" t="s">
        <v>49</v>
      </c>
      <c r="B81" s="144">
        <v>38.8</v>
      </c>
      <c r="C81" s="80">
        <v>0</v>
      </c>
      <c r="D81" s="79"/>
      <c r="E81" s="79"/>
      <c r="F81" s="79"/>
      <c r="G81" s="79"/>
      <c r="H81" s="79"/>
      <c r="I81" s="79"/>
      <c r="J81" s="80">
        <v>38.8</v>
      </c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38.8</v>
      </c>
      <c r="AG81" s="130">
        <f t="shared" si="16"/>
        <v>0</v>
      </c>
    </row>
    <row r="82" spans="1:33" s="11" customFormat="1" ht="15.75" hidden="1">
      <c r="A82" s="12" t="s">
        <v>41</v>
      </c>
      <c r="B82" s="144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15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44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44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44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44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144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144">
        <f>6251+3950+7337.3</f>
        <v>17538.3</v>
      </c>
      <c r="C89" s="72">
        <v>1877.8999999999978</v>
      </c>
      <c r="D89" s="67"/>
      <c r="E89" s="67"/>
      <c r="F89" s="67"/>
      <c r="G89" s="67">
        <v>1176.7</v>
      </c>
      <c r="H89" s="67">
        <v>5410.4</v>
      </c>
      <c r="I89" s="67"/>
      <c r="J89" s="72">
        <v>3488.2</v>
      </c>
      <c r="K89" s="67">
        <v>35.9</v>
      </c>
      <c r="L89" s="72">
        <v>11.8</v>
      </c>
      <c r="M89" s="67"/>
      <c r="N89" s="67">
        <v>575</v>
      </c>
      <c r="O89" s="67"/>
      <c r="P89" s="67"/>
      <c r="Q89" s="67">
        <v>2397.4</v>
      </c>
      <c r="R89" s="67"/>
      <c r="S89" s="72"/>
      <c r="T89" s="72"/>
      <c r="U89" s="67"/>
      <c r="V89" s="67">
        <v>452.4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13547.799999999997</v>
      </c>
      <c r="AG89" s="72">
        <f t="shared" si="16"/>
        <v>5868.4</v>
      </c>
      <c r="AH89" s="11"/>
      <c r="AI89" s="86"/>
    </row>
    <row r="90" spans="1:34" ht="15.75">
      <c r="A90" s="4" t="s">
        <v>51</v>
      </c>
      <c r="B90" s="144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144">
        <v>560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560</v>
      </c>
      <c r="AH91" s="11"/>
    </row>
    <row r="92" spans="1:34" ht="15.75">
      <c r="A92" s="4" t="s">
        <v>37</v>
      </c>
      <c r="B92" s="144">
        <f>31891-3950+280-1580-5176.3</f>
        <v>21464.7</v>
      </c>
      <c r="C92" s="72">
        <v>85985.9</v>
      </c>
      <c r="D92" s="67">
        <v>940.1</v>
      </c>
      <c r="E92" s="67">
        <v>105.1</v>
      </c>
      <c r="F92" s="67">
        <v>1803.5</v>
      </c>
      <c r="G92" s="67"/>
      <c r="H92" s="67">
        <v>948.2</v>
      </c>
      <c r="I92" s="67">
        <v>1174.2</v>
      </c>
      <c r="J92" s="72">
        <v>1202.5</v>
      </c>
      <c r="K92" s="67">
        <v>1193.2</v>
      </c>
      <c r="L92" s="72">
        <v>8548.2</v>
      </c>
      <c r="M92" s="67">
        <v>791.5</v>
      </c>
      <c r="N92" s="67">
        <v>51.6</v>
      </c>
      <c r="O92" s="67">
        <v>1522.7</v>
      </c>
      <c r="P92" s="67">
        <v>3915.1</v>
      </c>
      <c r="Q92" s="67">
        <v>934.2</v>
      </c>
      <c r="R92" s="67">
        <v>2112.2</v>
      </c>
      <c r="S92" s="72">
        <v>1271.9</v>
      </c>
      <c r="T92" s="72">
        <v>700</v>
      </c>
      <c r="U92" s="67"/>
      <c r="V92" s="67">
        <v>169.8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27384</v>
      </c>
      <c r="AG92" s="72">
        <f t="shared" si="16"/>
        <v>80066.59999999999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161416.09403</v>
      </c>
      <c r="C94" s="132">
        <f t="shared" si="17"/>
        <v>159530.52548999997</v>
      </c>
      <c r="D94" s="83">
        <f t="shared" si="17"/>
        <v>1436.5</v>
      </c>
      <c r="E94" s="83">
        <f t="shared" si="17"/>
        <v>381.20000000000005</v>
      </c>
      <c r="F94" s="83">
        <f t="shared" si="17"/>
        <v>2441.8</v>
      </c>
      <c r="G94" s="83">
        <f t="shared" si="17"/>
        <v>2569.4</v>
      </c>
      <c r="H94" s="83">
        <f t="shared" si="17"/>
        <v>8748.5</v>
      </c>
      <c r="I94" s="83">
        <f t="shared" si="17"/>
        <v>2859.7</v>
      </c>
      <c r="J94" s="132">
        <f t="shared" si="17"/>
        <v>6129.9</v>
      </c>
      <c r="K94" s="83">
        <f t="shared" si="17"/>
        <v>35739.8</v>
      </c>
      <c r="L94" s="132">
        <f t="shared" si="17"/>
        <v>13879.300000000001</v>
      </c>
      <c r="M94" s="83">
        <f t="shared" si="17"/>
        <v>2683</v>
      </c>
      <c r="N94" s="83">
        <f t="shared" si="17"/>
        <v>1741.0999999999997</v>
      </c>
      <c r="O94" s="83">
        <f t="shared" si="17"/>
        <v>4721.4</v>
      </c>
      <c r="P94" s="83">
        <f t="shared" si="17"/>
        <v>4995.799999999999</v>
      </c>
      <c r="Q94" s="83">
        <f t="shared" si="17"/>
        <v>5927.5</v>
      </c>
      <c r="R94" s="83">
        <f t="shared" si="17"/>
        <v>2698.6</v>
      </c>
      <c r="S94" s="83">
        <f t="shared" si="17"/>
        <v>7874.200000000001</v>
      </c>
      <c r="T94" s="83">
        <f t="shared" si="17"/>
        <v>3831.4</v>
      </c>
      <c r="U94" s="83">
        <f t="shared" si="17"/>
        <v>0</v>
      </c>
      <c r="V94" s="83">
        <f t="shared" si="17"/>
        <v>51961.8</v>
      </c>
      <c r="W94" s="83">
        <f t="shared" si="17"/>
        <v>1049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161669.90000000002</v>
      </c>
      <c r="AG94" s="84">
        <f>AG10+AG15+AG24+AG33+AG47+AG52+AG54+AG61+AG62+AG69+AG71+AG72+AG76+AG81+AG82+AG83+AG88+AG89+AG90+AG91+AG70+AG40+AG92</f>
        <v>159276.71951999998</v>
      </c>
    </row>
    <row r="95" spans="1:33" ht="15.75">
      <c r="A95" s="3" t="s">
        <v>5</v>
      </c>
      <c r="B95" s="22">
        <f>B11+B17+B26+B34+B55+B63+B73+B41+B77+B48</f>
        <v>69896.16</v>
      </c>
      <c r="C95" s="109">
        <f aca="true" t="shared" si="18" ref="C95:AD95">C11+C17+C26+C34+C55+C63+C73+C41+C77+C48</f>
        <v>22500.331999999995</v>
      </c>
      <c r="D95" s="67">
        <f t="shared" si="18"/>
        <v>496.4</v>
      </c>
      <c r="E95" s="67">
        <f t="shared" si="18"/>
        <v>26</v>
      </c>
      <c r="F95" s="67">
        <f t="shared" si="18"/>
        <v>82.3</v>
      </c>
      <c r="G95" s="67">
        <f t="shared" si="18"/>
        <v>11.9</v>
      </c>
      <c r="H95" s="67">
        <f t="shared" si="18"/>
        <v>0</v>
      </c>
      <c r="I95" s="67">
        <f t="shared" si="18"/>
        <v>342.59999999999997</v>
      </c>
      <c r="J95" s="72">
        <f t="shared" si="18"/>
        <v>586.2</v>
      </c>
      <c r="K95" s="67">
        <f t="shared" si="18"/>
        <v>24296.899999999998</v>
      </c>
      <c r="L95" s="72">
        <f t="shared" si="18"/>
        <v>2786.8999999999996</v>
      </c>
      <c r="M95" s="67">
        <f t="shared" si="18"/>
        <v>2.9</v>
      </c>
      <c r="N95" s="67">
        <f t="shared" si="18"/>
        <v>0</v>
      </c>
      <c r="O95" s="67">
        <f t="shared" si="18"/>
        <v>44.599999999999994</v>
      </c>
      <c r="P95" s="67">
        <f t="shared" si="18"/>
        <v>5.7</v>
      </c>
      <c r="Q95" s="67">
        <f t="shared" si="18"/>
        <v>0.4</v>
      </c>
      <c r="R95" s="67">
        <f t="shared" si="18"/>
        <v>0</v>
      </c>
      <c r="S95" s="67">
        <f t="shared" si="18"/>
        <v>0</v>
      </c>
      <c r="T95" s="67">
        <f t="shared" si="18"/>
        <v>102</v>
      </c>
      <c r="U95" s="67">
        <f t="shared" si="18"/>
        <v>0</v>
      </c>
      <c r="V95" s="67">
        <f t="shared" si="18"/>
        <v>40698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69482.8</v>
      </c>
      <c r="AG95" s="71">
        <f>B95+C95-AF95</f>
        <v>22913.691999999995</v>
      </c>
    </row>
    <row r="96" spans="1:33" ht="15.75">
      <c r="A96" s="3" t="s">
        <v>2</v>
      </c>
      <c r="B96" s="22">
        <f aca="true" t="shared" si="19" ref="B96:AD96">B12+B20+B29+B36+B57+B66+B44+B80+B74+B53</f>
        <v>2647.9089999999997</v>
      </c>
      <c r="C96" s="109">
        <f t="shared" si="19"/>
        <v>2538.8619999999996</v>
      </c>
      <c r="D96" s="67">
        <f t="shared" si="19"/>
        <v>0</v>
      </c>
      <c r="E96" s="67">
        <f t="shared" si="19"/>
        <v>47</v>
      </c>
      <c r="F96" s="67">
        <f t="shared" si="19"/>
        <v>37.699999999999996</v>
      </c>
      <c r="G96" s="67">
        <f t="shared" si="19"/>
        <v>2.4</v>
      </c>
      <c r="H96" s="67">
        <f t="shared" si="19"/>
        <v>4.3</v>
      </c>
      <c r="I96" s="67">
        <f t="shared" si="19"/>
        <v>2</v>
      </c>
      <c r="J96" s="72">
        <f t="shared" si="19"/>
        <v>141.4</v>
      </c>
      <c r="K96" s="67">
        <f t="shared" si="19"/>
        <v>145.2</v>
      </c>
      <c r="L96" s="72">
        <f t="shared" si="19"/>
        <v>6.2</v>
      </c>
      <c r="M96" s="67">
        <f t="shared" si="19"/>
        <v>0</v>
      </c>
      <c r="N96" s="67">
        <f t="shared" si="19"/>
        <v>9.8</v>
      </c>
      <c r="O96" s="67">
        <f t="shared" si="19"/>
        <v>33.5</v>
      </c>
      <c r="P96" s="67">
        <f t="shared" si="19"/>
        <v>408.1</v>
      </c>
      <c r="Q96" s="67">
        <f t="shared" si="19"/>
        <v>125.7</v>
      </c>
      <c r="R96" s="67">
        <f t="shared" si="19"/>
        <v>72.9</v>
      </c>
      <c r="S96" s="67">
        <f t="shared" si="19"/>
        <v>17</v>
      </c>
      <c r="T96" s="67">
        <f t="shared" si="19"/>
        <v>63</v>
      </c>
      <c r="U96" s="67">
        <f t="shared" si="19"/>
        <v>0</v>
      </c>
      <c r="V96" s="67">
        <f t="shared" si="19"/>
        <v>132.2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1248.4</v>
      </c>
      <c r="AG96" s="71">
        <f>B96+C96-AF96</f>
        <v>3938.3709999999987</v>
      </c>
    </row>
    <row r="97" spans="1:33" ht="15.75">
      <c r="A97" s="3" t="s">
        <v>3</v>
      </c>
      <c r="B97" s="22">
        <f aca="true" t="shared" si="20" ref="B97:AA97">B18+B27+B42+B64+B78</f>
        <v>24.9</v>
      </c>
      <c r="C97" s="109">
        <f t="shared" si="20"/>
        <v>10.999999999999998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1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3.4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4.4</v>
      </c>
      <c r="AG97" s="71">
        <f>B97+C97-AF97</f>
        <v>31.5</v>
      </c>
    </row>
    <row r="98" spans="1:33" ht="15.75">
      <c r="A98" s="3" t="s">
        <v>1</v>
      </c>
      <c r="B98" s="22">
        <f aca="true" t="shared" si="21" ref="B98:AD98">B19+B28+B65+B35+B43+B56+B79</f>
        <v>1213.3500000000001</v>
      </c>
      <c r="C98" s="109">
        <f t="shared" si="21"/>
        <v>6915.586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0</v>
      </c>
      <c r="H98" s="67">
        <f t="shared" si="21"/>
        <v>272.4</v>
      </c>
      <c r="I98" s="67">
        <f t="shared" si="21"/>
        <v>0</v>
      </c>
      <c r="J98" s="72">
        <f t="shared" si="21"/>
        <v>51.1</v>
      </c>
      <c r="K98" s="67">
        <f t="shared" si="21"/>
        <v>0</v>
      </c>
      <c r="L98" s="72">
        <f t="shared" si="21"/>
        <v>280.9</v>
      </c>
      <c r="M98" s="67">
        <f t="shared" si="21"/>
        <v>48.1</v>
      </c>
      <c r="N98" s="67">
        <f t="shared" si="21"/>
        <v>157.6</v>
      </c>
      <c r="O98" s="67">
        <f t="shared" si="21"/>
        <v>0</v>
      </c>
      <c r="P98" s="67">
        <f t="shared" si="21"/>
        <v>521.2</v>
      </c>
      <c r="Q98" s="67">
        <f t="shared" si="21"/>
        <v>247.7</v>
      </c>
      <c r="R98" s="67">
        <f t="shared" si="21"/>
        <v>188.5</v>
      </c>
      <c r="S98" s="67">
        <f t="shared" si="21"/>
        <v>416.8</v>
      </c>
      <c r="T98" s="67">
        <f t="shared" si="21"/>
        <v>97</v>
      </c>
      <c r="U98" s="67">
        <f t="shared" si="21"/>
        <v>0</v>
      </c>
      <c r="V98" s="67">
        <f t="shared" si="21"/>
        <v>548.9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2830.2000000000003</v>
      </c>
      <c r="AG98" s="71">
        <f>B98+C98-AF98</f>
        <v>5298.736000000001</v>
      </c>
    </row>
    <row r="99" spans="1:33" ht="15.75">
      <c r="A99" s="3" t="s">
        <v>16</v>
      </c>
      <c r="B99" s="22">
        <f aca="true" t="shared" si="22" ref="B99:X99">B21+B30+B49+B37+B58+B13+B75+B67</f>
        <v>2087.9019</v>
      </c>
      <c r="C99" s="109">
        <f t="shared" si="22"/>
        <v>3426.636</v>
      </c>
      <c r="D99" s="67">
        <f t="shared" si="22"/>
        <v>0</v>
      </c>
      <c r="E99" s="67">
        <f t="shared" si="22"/>
        <v>0</v>
      </c>
      <c r="F99" s="67">
        <f t="shared" si="22"/>
        <v>146.5</v>
      </c>
      <c r="G99" s="67">
        <f t="shared" si="22"/>
        <v>850.5</v>
      </c>
      <c r="H99" s="67">
        <f t="shared" si="22"/>
        <v>34.5</v>
      </c>
      <c r="I99" s="67">
        <f t="shared" si="22"/>
        <v>0</v>
      </c>
      <c r="J99" s="72">
        <f t="shared" si="22"/>
        <v>57.7</v>
      </c>
      <c r="K99" s="67">
        <f t="shared" si="22"/>
        <v>37.800000000000004</v>
      </c>
      <c r="L99" s="72">
        <f t="shared" si="22"/>
        <v>41.6</v>
      </c>
      <c r="M99" s="67">
        <f t="shared" si="22"/>
        <v>22.3</v>
      </c>
      <c r="N99" s="67">
        <f t="shared" si="22"/>
        <v>131.10000000000002</v>
      </c>
      <c r="O99" s="67">
        <f t="shared" si="22"/>
        <v>0</v>
      </c>
      <c r="P99" s="67">
        <f t="shared" si="22"/>
        <v>0</v>
      </c>
      <c r="Q99" s="67">
        <f t="shared" si="22"/>
        <v>334.29999999999995</v>
      </c>
      <c r="R99" s="67">
        <f t="shared" si="22"/>
        <v>168</v>
      </c>
      <c r="S99" s="67">
        <f t="shared" si="22"/>
        <v>85</v>
      </c>
      <c r="T99" s="67">
        <f t="shared" si="22"/>
        <v>168.4</v>
      </c>
      <c r="U99" s="67">
        <f t="shared" si="22"/>
        <v>0</v>
      </c>
      <c r="V99" s="67">
        <f t="shared" si="22"/>
        <v>378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2455.7</v>
      </c>
      <c r="AG99" s="71">
        <f>B99+C99-AF99</f>
        <v>3058.8378999999995</v>
      </c>
    </row>
    <row r="100" spans="1:33" ht="12.75">
      <c r="A100" s="1" t="s">
        <v>35</v>
      </c>
      <c r="B100" s="2">
        <f aca="true" t="shared" si="24" ref="B100:AD100">B94-B95-B96-B97-B98-B99</f>
        <v>85545.87313</v>
      </c>
      <c r="C100" s="20">
        <f t="shared" si="24"/>
        <v>124138.10948999999</v>
      </c>
      <c r="D100" s="85">
        <f t="shared" si="24"/>
        <v>940.1</v>
      </c>
      <c r="E100" s="85">
        <f t="shared" si="24"/>
        <v>308.20000000000005</v>
      </c>
      <c r="F100" s="85">
        <f t="shared" si="24"/>
        <v>2175.3</v>
      </c>
      <c r="G100" s="85">
        <f t="shared" si="24"/>
        <v>1704.6</v>
      </c>
      <c r="H100" s="85">
        <f t="shared" si="24"/>
        <v>8436.300000000001</v>
      </c>
      <c r="I100" s="85">
        <f t="shared" si="24"/>
        <v>2515.1</v>
      </c>
      <c r="J100" s="131">
        <f t="shared" si="24"/>
        <v>5293.5</v>
      </c>
      <c r="K100" s="85">
        <f t="shared" si="24"/>
        <v>11259.900000000005</v>
      </c>
      <c r="L100" s="131">
        <f t="shared" si="24"/>
        <v>10763.7</v>
      </c>
      <c r="M100" s="85">
        <f t="shared" si="24"/>
        <v>2609.7</v>
      </c>
      <c r="N100" s="85">
        <f t="shared" si="24"/>
        <v>1439.1999999999998</v>
      </c>
      <c r="O100" s="85">
        <f t="shared" si="24"/>
        <v>4643.299999999999</v>
      </c>
      <c r="P100" s="85">
        <f t="shared" si="24"/>
        <v>4060.7999999999993</v>
      </c>
      <c r="Q100" s="85">
        <f t="shared" si="24"/>
        <v>5219.400000000001</v>
      </c>
      <c r="R100" s="85">
        <f t="shared" si="24"/>
        <v>2269.2</v>
      </c>
      <c r="S100" s="85">
        <f t="shared" si="24"/>
        <v>7355.400000000001</v>
      </c>
      <c r="T100" s="85">
        <f t="shared" si="24"/>
        <v>3401</v>
      </c>
      <c r="U100" s="85">
        <f t="shared" si="24"/>
        <v>0</v>
      </c>
      <c r="V100" s="85">
        <f t="shared" si="24"/>
        <v>10204.700000000003</v>
      </c>
      <c r="W100" s="85">
        <f t="shared" si="24"/>
        <v>1049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85648.40000000004</v>
      </c>
      <c r="AG100" s="85">
        <f>AG94-AG95-AG96-AG97-AG98-AG99</f>
        <v>124035.58262000002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2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0" zoomScaleNormal="70" zoomScalePageLayoutView="0" workbookViewId="0" topLeftCell="A21">
      <pane xSplit="1" topLeftCell="B1" activePane="topRight" state="frozen"/>
      <selection pane="topLeft" activeCell="A1" sqref="A1"/>
      <selection pane="topRight" activeCell="T41" sqref="T4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hidden="1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8.875" style="18" customWidth="1"/>
    <col min="25" max="26" width="8.75390625" style="18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73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72</v>
      </c>
      <c r="C4" s="90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19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>
        <v>30</v>
      </c>
      <c r="Z4" s="19">
        <v>31</v>
      </c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34874.4</v>
      </c>
      <c r="C7" s="129">
        <v>10314.350000000013</v>
      </c>
      <c r="D7" s="38"/>
      <c r="E7" s="38">
        <v>17437.2</v>
      </c>
      <c r="F7" s="38"/>
      <c r="G7" s="38"/>
      <c r="H7" s="56"/>
      <c r="I7" s="38"/>
      <c r="J7" s="39"/>
      <c r="K7" s="38"/>
      <c r="L7" s="39">
        <v>17437.2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20569.750000000015</v>
      </c>
      <c r="AF7" s="54"/>
      <c r="AG7" s="40"/>
    </row>
    <row r="8" spans="1:55" ht="18" customHeight="1">
      <c r="A8" s="47" t="s">
        <v>30</v>
      </c>
      <c r="B8" s="33">
        <f>SUM(E8:AB8)</f>
        <v>90994.2</v>
      </c>
      <c r="C8" s="103">
        <v>157804.54</v>
      </c>
      <c r="D8" s="59">
        <v>40033.3</v>
      </c>
      <c r="E8" s="60">
        <v>3993.7</v>
      </c>
      <c r="F8" s="137">
        <v>3372.1</v>
      </c>
      <c r="G8" s="137">
        <v>3980.9</v>
      </c>
      <c r="H8" s="137">
        <v>4389.9</v>
      </c>
      <c r="I8" s="137">
        <v>14631.6</v>
      </c>
      <c r="J8" s="138">
        <v>4306.6</v>
      </c>
      <c r="K8" s="138">
        <v>3117.8</v>
      </c>
      <c r="L8" s="138">
        <v>2752</v>
      </c>
      <c r="M8" s="137">
        <v>6795.3</v>
      </c>
      <c r="N8" s="137"/>
      <c r="O8" s="137">
        <v>10971.1</v>
      </c>
      <c r="P8" s="137">
        <v>6948.9</v>
      </c>
      <c r="Q8" s="137">
        <v>4222.3</v>
      </c>
      <c r="R8" s="137">
        <v>4689.7</v>
      </c>
      <c r="S8" s="63">
        <v>9158.8</v>
      </c>
      <c r="T8" s="63">
        <v>7663.5</v>
      </c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189655.84000000003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51">
        <f>B10+B15+B24+B33+B47+B52+B54+B61+B62+B71+B72+B88+B76+B81+B83+B82+B69+B89+B90+B91+B70+B40+B92</f>
        <v>172069.59999999998</v>
      </c>
      <c r="C9" s="104">
        <f aca="true" t="shared" si="0" ref="C9:AD9">C10+C15+C24+C33+C47+C52+C54+C61+C62+C71+C72+C88+C76+C81+C83+C82+C69+C89+C90+C91+C70+C40+C92</f>
        <v>159276.81951999996</v>
      </c>
      <c r="D9" s="68">
        <f t="shared" si="0"/>
        <v>317.2</v>
      </c>
      <c r="E9" s="68">
        <f t="shared" si="0"/>
        <v>7981.900000000001</v>
      </c>
      <c r="F9" s="68">
        <f t="shared" si="0"/>
        <v>277.8</v>
      </c>
      <c r="G9" s="68">
        <f t="shared" si="0"/>
        <v>5021.8</v>
      </c>
      <c r="H9" s="68">
        <f t="shared" si="0"/>
        <v>5794.9</v>
      </c>
      <c r="I9" s="68">
        <f t="shared" si="0"/>
        <v>0</v>
      </c>
      <c r="J9" s="104">
        <f t="shared" si="0"/>
        <v>0</v>
      </c>
      <c r="K9" s="68">
        <f t="shared" si="0"/>
        <v>41946.19999999999</v>
      </c>
      <c r="L9" s="104">
        <f>L10+L15+L24+L33+L47+L52+L54+L61+L62+L71+L72+L88+L76+L81+L83+L82+L69+L89+L90+L91+L70+L40+L92</f>
        <v>27848.6</v>
      </c>
      <c r="M9" s="68">
        <f t="shared" si="0"/>
        <v>4398.6</v>
      </c>
      <c r="N9" s="68">
        <f t="shared" si="0"/>
        <v>0</v>
      </c>
      <c r="O9" s="68">
        <f t="shared" si="0"/>
        <v>1803.6999999999998</v>
      </c>
      <c r="P9" s="68">
        <f t="shared" si="0"/>
        <v>6029.1</v>
      </c>
      <c r="Q9" s="68">
        <f t="shared" si="0"/>
        <v>860.3</v>
      </c>
      <c r="R9" s="68">
        <f t="shared" si="0"/>
        <v>8699</v>
      </c>
      <c r="S9" s="68">
        <f t="shared" si="0"/>
        <v>6183.6</v>
      </c>
      <c r="T9" s="68">
        <f t="shared" si="0"/>
        <v>6632.5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123795.20000000001</v>
      </c>
      <c r="AG9" s="69">
        <f>AG10+AG15+AG24+AG33+AG47+AG52+AG54+AG61+AG62+AG71+AG72+AG76+AG88+AG81+AG83+AG82+AG69+AG89+AG91+AG90+AG70+AG40+AG92</f>
        <v>207551.21952</v>
      </c>
      <c r="AH9" s="41"/>
      <c r="AI9" s="41"/>
    </row>
    <row r="10" spans="1:34" ht="15.75">
      <c r="A10" s="4" t="s">
        <v>4</v>
      </c>
      <c r="B10" s="144">
        <v>14473.3</v>
      </c>
      <c r="C10" s="72">
        <v>6069.596999999998</v>
      </c>
      <c r="D10" s="67">
        <v>317.2</v>
      </c>
      <c r="E10" s="67">
        <v>122.6</v>
      </c>
      <c r="F10" s="67">
        <v>113.6</v>
      </c>
      <c r="G10" s="67">
        <v>16.9</v>
      </c>
      <c r="H10" s="67">
        <v>75.3</v>
      </c>
      <c r="I10" s="67"/>
      <c r="J10" s="70"/>
      <c r="K10" s="67">
        <v>3216</v>
      </c>
      <c r="L10" s="72">
        <f>2093.2+8.3</f>
        <v>2101.5</v>
      </c>
      <c r="M10" s="67">
        <v>15.6</v>
      </c>
      <c r="N10" s="67"/>
      <c r="O10" s="71">
        <v>22.2</v>
      </c>
      <c r="P10" s="67">
        <v>11.5</v>
      </c>
      <c r="Q10" s="67">
        <v>23.9</v>
      </c>
      <c r="R10" s="67">
        <v>148</v>
      </c>
      <c r="S10" s="72">
        <v>20.7</v>
      </c>
      <c r="T10" s="72">
        <v>34.4</v>
      </c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6239.4</v>
      </c>
      <c r="AG10" s="72">
        <f>B10+C10-AF10</f>
        <v>14303.496999999998</v>
      </c>
      <c r="AH10" s="18"/>
    </row>
    <row r="11" spans="1:34" ht="15.75">
      <c r="A11" s="3" t="s">
        <v>5</v>
      </c>
      <c r="B11" s="144">
        <f>13603.4+273.6</f>
        <v>13877</v>
      </c>
      <c r="C11" s="72">
        <v>4010.6950000000033</v>
      </c>
      <c r="D11" s="67">
        <v>317.2</v>
      </c>
      <c r="E11" s="67">
        <v>103.5</v>
      </c>
      <c r="F11" s="67"/>
      <c r="G11" s="67"/>
      <c r="H11" s="67"/>
      <c r="I11" s="67"/>
      <c r="J11" s="72"/>
      <c r="K11" s="67">
        <v>3143.7</v>
      </c>
      <c r="L11" s="72">
        <v>2085.3</v>
      </c>
      <c r="M11" s="67"/>
      <c r="N11" s="67"/>
      <c r="O11" s="71">
        <v>10.7</v>
      </c>
      <c r="P11" s="67"/>
      <c r="Q11" s="67"/>
      <c r="R11" s="67"/>
      <c r="S11" s="72"/>
      <c r="T11" s="72">
        <v>12.5</v>
      </c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5672.9</v>
      </c>
      <c r="AG11" s="72">
        <f>B11+C11-AF11</f>
        <v>12214.795000000004</v>
      </c>
      <c r="AH11" s="18"/>
    </row>
    <row r="12" spans="1:34" ht="15.75">
      <c r="A12" s="3" t="s">
        <v>2</v>
      </c>
      <c r="B12" s="149">
        <f>250.1-200</f>
        <v>50.099999999999994</v>
      </c>
      <c r="C12" s="72">
        <v>280.15</v>
      </c>
      <c r="D12" s="67"/>
      <c r="E12" s="67"/>
      <c r="F12" s="67">
        <v>38.3</v>
      </c>
      <c r="G12" s="67"/>
      <c r="H12" s="67">
        <v>64.1</v>
      </c>
      <c r="I12" s="67"/>
      <c r="J12" s="72"/>
      <c r="K12" s="67">
        <v>5</v>
      </c>
      <c r="L12" s="72"/>
      <c r="M12" s="67"/>
      <c r="N12" s="67"/>
      <c r="O12" s="71"/>
      <c r="P12" s="67">
        <v>1.1</v>
      </c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108.49999999999999</v>
      </c>
      <c r="AG12" s="72">
        <f>B12+C12-AF12</f>
        <v>221.75</v>
      </c>
      <c r="AH12" s="18"/>
    </row>
    <row r="13" spans="1:34" ht="15.75" hidden="1">
      <c r="A13" s="3" t="s">
        <v>16</v>
      </c>
      <c r="B13" s="144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5" ht="15.75">
      <c r="A14" s="3" t="s">
        <v>23</v>
      </c>
      <c r="B14" s="144">
        <f>B10-B11-B12-B13</f>
        <v>546.1999999999992</v>
      </c>
      <c r="C14" s="72">
        <v>1778.7519999999945</v>
      </c>
      <c r="D14" s="67">
        <f aca="true" t="shared" si="2" ref="D14:AD14">D10-D11-D12-D13</f>
        <v>0</v>
      </c>
      <c r="E14" s="67">
        <f t="shared" si="2"/>
        <v>19.099999999999994</v>
      </c>
      <c r="F14" s="67">
        <f t="shared" si="2"/>
        <v>75.3</v>
      </c>
      <c r="G14" s="67">
        <f t="shared" si="2"/>
        <v>16.9</v>
      </c>
      <c r="H14" s="67">
        <f t="shared" si="2"/>
        <v>11.200000000000003</v>
      </c>
      <c r="I14" s="67">
        <f t="shared" si="2"/>
        <v>0</v>
      </c>
      <c r="J14" s="72">
        <f t="shared" si="2"/>
        <v>0</v>
      </c>
      <c r="K14" s="67">
        <f t="shared" si="2"/>
        <v>67.30000000000018</v>
      </c>
      <c r="L14" s="72">
        <f t="shared" si="2"/>
        <v>16.199999999999818</v>
      </c>
      <c r="M14" s="67">
        <f t="shared" si="2"/>
        <v>15.6</v>
      </c>
      <c r="N14" s="67">
        <f t="shared" si="2"/>
        <v>0</v>
      </c>
      <c r="O14" s="67">
        <f t="shared" si="2"/>
        <v>11.5</v>
      </c>
      <c r="P14" s="67">
        <f t="shared" si="2"/>
        <v>10.4</v>
      </c>
      <c r="Q14" s="67">
        <f t="shared" si="2"/>
        <v>23.9</v>
      </c>
      <c r="R14" s="67">
        <f t="shared" si="2"/>
        <v>148</v>
      </c>
      <c r="S14" s="67">
        <f t="shared" si="2"/>
        <v>20.7</v>
      </c>
      <c r="T14" s="67">
        <f t="shared" si="2"/>
        <v>21.9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>
        <f t="shared" si="2"/>
        <v>0</v>
      </c>
      <c r="AA14" s="67">
        <f t="shared" si="2"/>
        <v>0</v>
      </c>
      <c r="AB14" s="67">
        <f t="shared" si="2"/>
        <v>0</v>
      </c>
      <c r="AC14" s="67">
        <f t="shared" si="2"/>
        <v>0</v>
      </c>
      <c r="AD14" s="67">
        <f t="shared" si="2"/>
        <v>0</v>
      </c>
      <c r="AE14" s="67"/>
      <c r="AF14" s="71">
        <f t="shared" si="1"/>
        <v>457.99999999999994</v>
      </c>
      <c r="AG14" s="72">
        <f>AG10-AG11-AG12-AG13</f>
        <v>1866.9519999999939</v>
      </c>
      <c r="AH14" s="18"/>
      <c r="AI14" s="86"/>
    </row>
    <row r="15" spans="1:35" ht="15" customHeight="1">
      <c r="A15" s="4" t="s">
        <v>6</v>
      </c>
      <c r="B15" s="144">
        <f>72419.8+809.8</f>
        <v>73229.6</v>
      </c>
      <c r="C15" s="72">
        <v>34931.339779999995</v>
      </c>
      <c r="D15" s="73"/>
      <c r="E15" s="73">
        <f>3155.9+4130.8</f>
        <v>7286.700000000001</v>
      </c>
      <c r="F15" s="67"/>
      <c r="G15" s="67">
        <v>914.7</v>
      </c>
      <c r="H15" s="67">
        <v>1007.9</v>
      </c>
      <c r="I15" s="67"/>
      <c r="J15" s="72"/>
      <c r="K15" s="67">
        <f>11799+9728.1</f>
        <v>21527.1</v>
      </c>
      <c r="L15" s="72">
        <v>268.3</v>
      </c>
      <c r="M15" s="67">
        <v>1685.8</v>
      </c>
      <c r="N15" s="67"/>
      <c r="O15" s="71">
        <v>29</v>
      </c>
      <c r="P15" s="67">
        <v>319.8</v>
      </c>
      <c r="Q15" s="71"/>
      <c r="R15" s="67">
        <v>1469.4</v>
      </c>
      <c r="S15" s="72">
        <v>12.5</v>
      </c>
      <c r="T15" s="72">
        <v>1110.4</v>
      </c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35631.600000000006</v>
      </c>
      <c r="AG15" s="72">
        <f aca="true" t="shared" si="3" ref="AG15:AG31">B15+C15-AF15</f>
        <v>72529.33978</v>
      </c>
      <c r="AH15" s="112"/>
      <c r="AI15" s="86"/>
    </row>
    <row r="16" spans="1:34" s="53" customFormat="1" ht="15" customHeight="1">
      <c r="A16" s="51" t="s">
        <v>38</v>
      </c>
      <c r="B16" s="152">
        <v>22181.7</v>
      </c>
      <c r="C16" s="76">
        <v>4452.799999999996</v>
      </c>
      <c r="D16" s="74"/>
      <c r="E16" s="74">
        <v>4130.8</v>
      </c>
      <c r="F16" s="75"/>
      <c r="G16" s="75"/>
      <c r="H16" s="75"/>
      <c r="I16" s="75"/>
      <c r="J16" s="76"/>
      <c r="K16" s="75">
        <v>9728.1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13858.900000000001</v>
      </c>
      <c r="AG16" s="115">
        <f t="shared" si="3"/>
        <v>12775.599999999995</v>
      </c>
      <c r="AH16" s="116"/>
    </row>
    <row r="17" spans="1:34" ht="15.75">
      <c r="A17" s="3" t="s">
        <v>5</v>
      </c>
      <c r="B17" s="144">
        <v>59247.7</v>
      </c>
      <c r="C17" s="72">
        <v>16499.020000000004</v>
      </c>
      <c r="D17" s="67"/>
      <c r="E17" s="67">
        <v>7286.7</v>
      </c>
      <c r="F17" s="67"/>
      <c r="G17" s="67"/>
      <c r="H17" s="67"/>
      <c r="I17" s="67"/>
      <c r="J17" s="72"/>
      <c r="K17" s="67">
        <f>11367.5+9728.1</f>
        <v>21095.6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28382.3</v>
      </c>
      <c r="AG17" s="72">
        <f t="shared" si="3"/>
        <v>47364.42</v>
      </c>
      <c r="AH17" s="21"/>
    </row>
    <row r="18" spans="1:34" ht="15.75">
      <c r="A18" s="3" t="s">
        <v>3</v>
      </c>
      <c r="B18" s="144">
        <v>46.1</v>
      </c>
      <c r="C18" s="72">
        <v>26.9</v>
      </c>
      <c r="D18" s="67"/>
      <c r="E18" s="67"/>
      <c r="F18" s="67"/>
      <c r="G18" s="67">
        <v>3.6</v>
      </c>
      <c r="H18" s="67"/>
      <c r="I18" s="67"/>
      <c r="J18" s="72"/>
      <c r="K18" s="67"/>
      <c r="L18" s="72">
        <v>2.1</v>
      </c>
      <c r="M18" s="67">
        <v>4</v>
      </c>
      <c r="N18" s="67"/>
      <c r="O18" s="71"/>
      <c r="P18" s="67"/>
      <c r="Q18" s="71"/>
      <c r="R18" s="67">
        <v>2.9</v>
      </c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12.6</v>
      </c>
      <c r="AG18" s="72">
        <f t="shared" si="3"/>
        <v>60.4</v>
      </c>
      <c r="AH18" s="18"/>
    </row>
    <row r="19" spans="1:34" ht="15.75">
      <c r="A19" s="3" t="s">
        <v>1</v>
      </c>
      <c r="B19" s="144">
        <v>4133.6</v>
      </c>
      <c r="C19" s="72">
        <v>5125.299999999999</v>
      </c>
      <c r="D19" s="67"/>
      <c r="E19" s="67"/>
      <c r="F19" s="67"/>
      <c r="G19" s="67">
        <v>632.4</v>
      </c>
      <c r="H19" s="67">
        <v>532.2</v>
      </c>
      <c r="I19" s="67"/>
      <c r="J19" s="72"/>
      <c r="K19" s="67">
        <v>293.2</v>
      </c>
      <c r="L19" s="72">
        <v>75.2</v>
      </c>
      <c r="M19" s="67">
        <v>154.6</v>
      </c>
      <c r="N19" s="67"/>
      <c r="O19" s="71"/>
      <c r="P19" s="67"/>
      <c r="Q19" s="71"/>
      <c r="R19" s="67">
        <v>460.1</v>
      </c>
      <c r="S19" s="72"/>
      <c r="T19" s="72">
        <v>437.8</v>
      </c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2585.5</v>
      </c>
      <c r="AG19" s="72">
        <f t="shared" si="3"/>
        <v>6673.4</v>
      </c>
      <c r="AH19" s="18"/>
    </row>
    <row r="20" spans="1:34" ht="15.75">
      <c r="A20" s="3" t="s">
        <v>2</v>
      </c>
      <c r="B20" s="144">
        <f>6032.2+809.8</f>
        <v>6842</v>
      </c>
      <c r="C20" s="72">
        <v>1801.6500000000005</v>
      </c>
      <c r="D20" s="67"/>
      <c r="E20" s="67"/>
      <c r="F20" s="67"/>
      <c r="G20" s="67">
        <v>93.8</v>
      </c>
      <c r="H20" s="67">
        <v>382.3</v>
      </c>
      <c r="I20" s="67"/>
      <c r="J20" s="72"/>
      <c r="K20" s="67">
        <v>126.3</v>
      </c>
      <c r="L20" s="72">
        <v>158.9</v>
      </c>
      <c r="M20" s="67">
        <v>1031.6</v>
      </c>
      <c r="N20" s="67"/>
      <c r="O20" s="71">
        <v>29</v>
      </c>
      <c r="P20" s="67">
        <v>18.5</v>
      </c>
      <c r="Q20" s="71"/>
      <c r="R20" s="67">
        <v>597.4</v>
      </c>
      <c r="S20" s="72"/>
      <c r="T20" s="72">
        <v>444.9</v>
      </c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2882.7</v>
      </c>
      <c r="AG20" s="72">
        <f t="shared" si="3"/>
        <v>5760.950000000002</v>
      </c>
      <c r="AH20" s="18"/>
    </row>
    <row r="21" spans="1:34" ht="15.75">
      <c r="A21" s="3" t="s">
        <v>16</v>
      </c>
      <c r="B21" s="144">
        <v>1118.5</v>
      </c>
      <c r="C21" s="72">
        <v>507.79999999999995</v>
      </c>
      <c r="D21" s="67"/>
      <c r="E21" s="67"/>
      <c r="F21" s="67"/>
      <c r="G21" s="67"/>
      <c r="H21" s="67">
        <v>10.3</v>
      </c>
      <c r="I21" s="67"/>
      <c r="J21" s="72"/>
      <c r="K21" s="67"/>
      <c r="L21" s="72"/>
      <c r="M21" s="67">
        <v>190.9</v>
      </c>
      <c r="N21" s="67"/>
      <c r="O21" s="71"/>
      <c r="P21" s="67"/>
      <c r="Q21" s="71"/>
      <c r="R21" s="67">
        <v>136.5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337.70000000000005</v>
      </c>
      <c r="AG21" s="72">
        <f t="shared" si="3"/>
        <v>1288.6</v>
      </c>
      <c r="AH21" s="18"/>
    </row>
    <row r="22" spans="1:34" ht="15.75" hidden="1">
      <c r="A22" s="3" t="s">
        <v>15</v>
      </c>
      <c r="B22" s="147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144">
        <f aca="true" t="shared" si="4" ref="B23:AD23">B15-B17-B18-B19-B20-B21-B22</f>
        <v>1841.700000000008</v>
      </c>
      <c r="C23" s="72">
        <v>10878.760779999995</v>
      </c>
      <c r="D23" s="67">
        <f t="shared" si="4"/>
        <v>0</v>
      </c>
      <c r="E23" s="67">
        <f t="shared" si="4"/>
        <v>9.094947017729282E-13</v>
      </c>
      <c r="F23" s="67">
        <f t="shared" si="4"/>
        <v>0</v>
      </c>
      <c r="G23" s="67">
        <f t="shared" si="4"/>
        <v>184.90000000000003</v>
      </c>
      <c r="H23" s="67">
        <f t="shared" si="4"/>
        <v>83.09999999999992</v>
      </c>
      <c r="I23" s="67">
        <f t="shared" si="4"/>
        <v>0</v>
      </c>
      <c r="J23" s="72">
        <f t="shared" si="4"/>
        <v>0</v>
      </c>
      <c r="K23" s="67">
        <f t="shared" si="4"/>
        <v>12.000000000000014</v>
      </c>
      <c r="L23" s="72">
        <f t="shared" si="4"/>
        <v>32.099999999999994</v>
      </c>
      <c r="M23" s="67">
        <f t="shared" si="4"/>
        <v>304.70000000000016</v>
      </c>
      <c r="N23" s="67">
        <f t="shared" si="4"/>
        <v>0</v>
      </c>
      <c r="O23" s="67">
        <f t="shared" si="4"/>
        <v>0</v>
      </c>
      <c r="P23" s="67">
        <f t="shared" si="4"/>
        <v>301.3</v>
      </c>
      <c r="Q23" s="67">
        <f t="shared" si="4"/>
        <v>0</v>
      </c>
      <c r="R23" s="67">
        <f t="shared" si="4"/>
        <v>272.5</v>
      </c>
      <c r="S23" s="67">
        <f t="shared" si="4"/>
        <v>12.5</v>
      </c>
      <c r="T23" s="67">
        <f t="shared" si="4"/>
        <v>227.70000000000016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1430.800000000001</v>
      </c>
      <c r="AG23" s="72">
        <f>B23+C23-AF23</f>
        <v>11289.660780000002</v>
      </c>
      <c r="AH23" s="18"/>
    </row>
    <row r="24" spans="1:35" ht="15" customHeight="1">
      <c r="A24" s="4" t="s">
        <v>7</v>
      </c>
      <c r="B24" s="144">
        <v>32623.2</v>
      </c>
      <c r="C24" s="72">
        <v>13806.820999999989</v>
      </c>
      <c r="D24" s="67"/>
      <c r="E24" s="67"/>
      <c r="F24" s="67"/>
      <c r="G24" s="67"/>
      <c r="H24" s="67">
        <f>1348.9+338.7</f>
        <v>1687.6000000000001</v>
      </c>
      <c r="I24" s="67"/>
      <c r="J24" s="72"/>
      <c r="K24" s="67">
        <f>225.4+7510.8</f>
        <v>7736.2</v>
      </c>
      <c r="L24" s="72">
        <f>138.8+1602.7</f>
        <v>1741.5</v>
      </c>
      <c r="M24" s="67"/>
      <c r="N24" s="67"/>
      <c r="O24" s="71">
        <v>1383.3</v>
      </c>
      <c r="P24" s="67">
        <f>73.5+2.1</f>
        <v>75.6</v>
      </c>
      <c r="Q24" s="71">
        <v>2.3</v>
      </c>
      <c r="R24" s="71">
        <f>1540.5+297.2</f>
        <v>1837.7</v>
      </c>
      <c r="S24" s="72">
        <f>569.2+74.9</f>
        <v>644.1</v>
      </c>
      <c r="T24" s="72">
        <f>38.4+2</f>
        <v>40.4</v>
      </c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15148.699999999999</v>
      </c>
      <c r="AG24" s="72">
        <f t="shared" si="3"/>
        <v>31281.320999999996</v>
      </c>
      <c r="AH24" s="86"/>
      <c r="AI24" s="86"/>
    </row>
    <row r="25" spans="1:35" s="117" customFormat="1" ht="15" customHeight="1">
      <c r="A25" s="113" t="s">
        <v>39</v>
      </c>
      <c r="B25" s="152">
        <v>15694.8</v>
      </c>
      <c r="C25" s="76">
        <v>857.3000000000029</v>
      </c>
      <c r="D25" s="76"/>
      <c r="E25" s="76"/>
      <c r="F25" s="76"/>
      <c r="G25" s="76"/>
      <c r="H25" s="76">
        <v>338.7</v>
      </c>
      <c r="I25" s="76"/>
      <c r="J25" s="76"/>
      <c r="K25" s="76">
        <v>7510.8</v>
      </c>
      <c r="L25" s="76">
        <v>1602.7</v>
      </c>
      <c r="M25" s="76"/>
      <c r="N25" s="76"/>
      <c r="O25" s="76">
        <v>929.4</v>
      </c>
      <c r="P25" s="76">
        <v>2.1</v>
      </c>
      <c r="Q25" s="76">
        <v>2.3</v>
      </c>
      <c r="R25" s="76">
        <v>297.2</v>
      </c>
      <c r="S25" s="76">
        <v>74.9</v>
      </c>
      <c r="T25" s="76">
        <v>2</v>
      </c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10760.1</v>
      </c>
      <c r="AG25" s="115">
        <f t="shared" si="3"/>
        <v>5792.000000000002</v>
      </c>
      <c r="AH25" s="116"/>
      <c r="AI25" s="142"/>
    </row>
    <row r="26" spans="1:34" ht="15.75" hidden="1">
      <c r="A26" s="3" t="s">
        <v>5</v>
      </c>
      <c r="B26" s="144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144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144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144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144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144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144">
        <f>B24</f>
        <v>32623.2</v>
      </c>
      <c r="C32" s="72">
        <v>13806.820999999989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0</v>
      </c>
      <c r="H32" s="67">
        <f t="shared" si="5"/>
        <v>1687.6000000000001</v>
      </c>
      <c r="I32" s="67">
        <f t="shared" si="5"/>
        <v>0</v>
      </c>
      <c r="J32" s="72">
        <f t="shared" si="5"/>
        <v>0</v>
      </c>
      <c r="K32" s="67">
        <f t="shared" si="5"/>
        <v>7736.2</v>
      </c>
      <c r="L32" s="72">
        <f t="shared" si="5"/>
        <v>1741.5</v>
      </c>
      <c r="M32" s="67">
        <f t="shared" si="5"/>
        <v>0</v>
      </c>
      <c r="N32" s="67">
        <f t="shared" si="5"/>
        <v>0</v>
      </c>
      <c r="O32" s="67">
        <f t="shared" si="5"/>
        <v>1383.3</v>
      </c>
      <c r="P32" s="67">
        <f t="shared" si="5"/>
        <v>75.6</v>
      </c>
      <c r="Q32" s="67">
        <f t="shared" si="5"/>
        <v>2.3</v>
      </c>
      <c r="R32" s="67">
        <f t="shared" si="5"/>
        <v>1837.7</v>
      </c>
      <c r="S32" s="67">
        <f t="shared" si="5"/>
        <v>644.1</v>
      </c>
      <c r="T32" s="67">
        <f t="shared" si="5"/>
        <v>40.4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15148.699999999999</v>
      </c>
      <c r="AG32" s="72">
        <f>AG24</f>
        <v>31281.320999999996</v>
      </c>
    </row>
    <row r="33" spans="1:33" ht="15" customHeight="1">
      <c r="A33" s="4" t="s">
        <v>8</v>
      </c>
      <c r="B33" s="144">
        <f>284.5+38.1</f>
        <v>322.6</v>
      </c>
      <c r="C33" s="72">
        <v>1444.0499999999997</v>
      </c>
      <c r="D33" s="67"/>
      <c r="E33" s="67"/>
      <c r="F33" s="67"/>
      <c r="G33" s="67"/>
      <c r="H33" s="67"/>
      <c r="I33" s="67"/>
      <c r="J33" s="72"/>
      <c r="K33" s="67">
        <v>75.5</v>
      </c>
      <c r="L33" s="72"/>
      <c r="M33" s="67"/>
      <c r="N33" s="67"/>
      <c r="O33" s="71"/>
      <c r="P33" s="67"/>
      <c r="Q33" s="71"/>
      <c r="R33" s="67">
        <v>0.4</v>
      </c>
      <c r="S33" s="72"/>
      <c r="T33" s="72">
        <v>16.3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92.2</v>
      </c>
      <c r="AG33" s="72">
        <f aca="true" t="shared" si="6" ref="AG33:AG38">B33+C33-AF33</f>
        <v>1674.4499999999996</v>
      </c>
    </row>
    <row r="34" spans="1:33" ht="15.75">
      <c r="A34" s="3" t="s">
        <v>5</v>
      </c>
      <c r="B34" s="144">
        <v>254.7</v>
      </c>
      <c r="C34" s="72">
        <v>126.91999999999996</v>
      </c>
      <c r="D34" s="67"/>
      <c r="E34" s="67"/>
      <c r="F34" s="67"/>
      <c r="G34" s="67"/>
      <c r="H34" s="67"/>
      <c r="I34" s="67"/>
      <c r="J34" s="72"/>
      <c r="K34" s="67">
        <v>73.8</v>
      </c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73.8</v>
      </c>
      <c r="AG34" s="72">
        <f t="shared" si="6"/>
        <v>307.81999999999994</v>
      </c>
    </row>
    <row r="35" spans="1:33" ht="15.75">
      <c r="A35" s="3" t="s">
        <v>1</v>
      </c>
      <c r="B35" s="144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.75">
      <c r="A36" s="3" t="s">
        <v>2</v>
      </c>
      <c r="B36" s="147">
        <f>4.5+38.1</f>
        <v>42.6</v>
      </c>
      <c r="C36" s="72">
        <v>20.499999999999996</v>
      </c>
      <c r="D36" s="67"/>
      <c r="E36" s="67"/>
      <c r="F36" s="67"/>
      <c r="G36" s="67"/>
      <c r="H36" s="67"/>
      <c r="I36" s="67"/>
      <c r="J36" s="72"/>
      <c r="K36" s="67">
        <v>0.6</v>
      </c>
      <c r="L36" s="72"/>
      <c r="M36" s="67"/>
      <c r="N36" s="72"/>
      <c r="O36" s="71"/>
      <c r="P36" s="67"/>
      <c r="Q36" s="71"/>
      <c r="R36" s="67"/>
      <c r="S36" s="72"/>
      <c r="T36" s="72">
        <v>16.3</v>
      </c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16.900000000000002</v>
      </c>
      <c r="AG36" s="72">
        <f t="shared" si="6"/>
        <v>46.19999999999999</v>
      </c>
    </row>
    <row r="37" spans="1:33" ht="15.75">
      <c r="A37" s="3" t="s">
        <v>16</v>
      </c>
      <c r="B37" s="144">
        <v>0</v>
      </c>
      <c r="C37" s="72">
        <v>1283.1640000000002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1283.1640000000002</v>
      </c>
    </row>
    <row r="38" spans="1:33" ht="15.75" hidden="1">
      <c r="A38" s="3" t="s">
        <v>15</v>
      </c>
      <c r="B38" s="144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144">
        <f aca="true" t="shared" si="7" ref="B39:AD39">B33-B34-B36-B38-B37-B35</f>
        <v>25.300000000000033</v>
      </c>
      <c r="C39" s="72">
        <v>11.479999999999563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1.1000000000000028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0.4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1.5000000000000027</v>
      </c>
      <c r="AG39" s="72">
        <f>AG33-AG34-AG36-AG38-AG35-AG37</f>
        <v>35.27999999999929</v>
      </c>
    </row>
    <row r="40" spans="1:33" ht="15" customHeight="1">
      <c r="A40" s="4" t="s">
        <v>29</v>
      </c>
      <c r="B40" s="144">
        <v>1070.3</v>
      </c>
      <c r="C40" s="72">
        <v>292.99199999999973</v>
      </c>
      <c r="D40" s="67"/>
      <c r="E40" s="67"/>
      <c r="F40" s="67"/>
      <c r="G40" s="67"/>
      <c r="H40" s="67"/>
      <c r="I40" s="67"/>
      <c r="J40" s="72"/>
      <c r="K40" s="67">
        <v>337.6</v>
      </c>
      <c r="L40" s="72"/>
      <c r="M40" s="67"/>
      <c r="N40" s="67"/>
      <c r="O40" s="71"/>
      <c r="P40" s="67"/>
      <c r="Q40" s="71"/>
      <c r="R40" s="71"/>
      <c r="S40" s="72"/>
      <c r="T40" s="72">
        <v>11.6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349.20000000000005</v>
      </c>
      <c r="AG40" s="72">
        <f aca="true" t="shared" si="8" ref="AG40:AG45">B40+C40-AF40</f>
        <v>1014.0919999999996</v>
      </c>
    </row>
    <row r="41" spans="1:34" ht="15.75">
      <c r="A41" s="3" t="s">
        <v>5</v>
      </c>
      <c r="B41" s="144">
        <v>1017.7</v>
      </c>
      <c r="C41" s="72">
        <v>208.284</v>
      </c>
      <c r="D41" s="67"/>
      <c r="E41" s="67"/>
      <c r="F41" s="67"/>
      <c r="G41" s="67"/>
      <c r="H41" s="67"/>
      <c r="I41" s="67"/>
      <c r="J41" s="72"/>
      <c r="K41" s="67">
        <v>315</v>
      </c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315</v>
      </c>
      <c r="AG41" s="72">
        <f t="shared" si="8"/>
        <v>910.9839999999999</v>
      </c>
      <c r="AH41" s="6"/>
    </row>
    <row r="42" spans="1:33" ht="15.75">
      <c r="A42" s="3" t="s">
        <v>3</v>
      </c>
      <c r="B42" s="144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.75">
      <c r="A43" s="3" t="s">
        <v>1</v>
      </c>
      <c r="B43" s="144">
        <v>9.6</v>
      </c>
      <c r="C43" s="72">
        <v>17.1</v>
      </c>
      <c r="D43" s="67"/>
      <c r="E43" s="67"/>
      <c r="F43" s="67"/>
      <c r="G43" s="67"/>
      <c r="H43" s="67"/>
      <c r="I43" s="67"/>
      <c r="J43" s="72"/>
      <c r="K43" s="67">
        <v>8.9</v>
      </c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8.9</v>
      </c>
      <c r="AG43" s="72">
        <f t="shared" si="8"/>
        <v>17.800000000000004</v>
      </c>
    </row>
    <row r="44" spans="1:33" ht="15.75">
      <c r="A44" s="3" t="s">
        <v>2</v>
      </c>
      <c r="B44" s="144">
        <v>12.8</v>
      </c>
      <c r="C44" s="72">
        <v>52.49399999999999</v>
      </c>
      <c r="D44" s="67"/>
      <c r="E44" s="67"/>
      <c r="F44" s="67"/>
      <c r="G44" s="67"/>
      <c r="H44" s="67"/>
      <c r="I44" s="67"/>
      <c r="J44" s="72"/>
      <c r="K44" s="67">
        <v>1.4</v>
      </c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1.4</v>
      </c>
      <c r="AG44" s="72">
        <f t="shared" si="8"/>
        <v>63.894</v>
      </c>
    </row>
    <row r="45" spans="1:33" ht="15.75" hidden="1">
      <c r="A45" s="3" t="s">
        <v>15</v>
      </c>
      <c r="B45" s="144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144">
        <f aca="true" t="shared" si="9" ref="B46:AD46">B40-B41-B42-B43-B44-B45</f>
        <v>30.199999999999907</v>
      </c>
      <c r="C46" s="72">
        <v>15.013999999999761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12.300000000000022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11.6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23.90000000000002</v>
      </c>
      <c r="AG46" s="72">
        <f>AG40-AG41-AG42-AG43-AG44-AG45</f>
        <v>21.313999999999716</v>
      </c>
    </row>
    <row r="47" spans="1:33" ht="17.25" customHeight="1">
      <c r="A47" s="4" t="s">
        <v>43</v>
      </c>
      <c r="B47" s="149">
        <v>711.6</v>
      </c>
      <c r="C47" s="72">
        <v>1426.4942299999962</v>
      </c>
      <c r="D47" s="67"/>
      <c r="E47" s="79">
        <v>22.2</v>
      </c>
      <c r="F47" s="79">
        <v>9.8</v>
      </c>
      <c r="G47" s="79">
        <v>135.5</v>
      </c>
      <c r="H47" s="79">
        <v>22.2</v>
      </c>
      <c r="I47" s="79"/>
      <c r="J47" s="80"/>
      <c r="K47" s="79">
        <v>97</v>
      </c>
      <c r="L47" s="80">
        <v>4.2</v>
      </c>
      <c r="M47" s="79"/>
      <c r="N47" s="79"/>
      <c r="O47" s="81">
        <v>44.5</v>
      </c>
      <c r="P47" s="79">
        <v>16.4</v>
      </c>
      <c r="Q47" s="79">
        <v>65.8</v>
      </c>
      <c r="R47" s="79">
        <v>1.8</v>
      </c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419.4</v>
      </c>
      <c r="AG47" s="72">
        <f>B47+C47-AF47</f>
        <v>1718.694229999996</v>
      </c>
    </row>
    <row r="48" spans="1:33" ht="15.75">
      <c r="A48" s="3" t="s">
        <v>5</v>
      </c>
      <c r="B48" s="144">
        <v>36.4</v>
      </c>
      <c r="C48" s="72">
        <v>59.04999999999999</v>
      </c>
      <c r="D48" s="67"/>
      <c r="E48" s="79"/>
      <c r="F48" s="79"/>
      <c r="G48" s="79"/>
      <c r="H48" s="79"/>
      <c r="I48" s="79"/>
      <c r="J48" s="80"/>
      <c r="K48" s="79">
        <v>35.3</v>
      </c>
      <c r="L48" s="80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35.3</v>
      </c>
      <c r="AG48" s="72">
        <f>B48+C48-AF48</f>
        <v>60.14999999999999</v>
      </c>
    </row>
    <row r="49" spans="1:33" ht="15.75">
      <c r="A49" s="3" t="s">
        <v>16</v>
      </c>
      <c r="B49" s="144">
        <v>519.7</v>
      </c>
      <c r="C49" s="72">
        <v>878.0739000000002</v>
      </c>
      <c r="D49" s="67"/>
      <c r="E49" s="67"/>
      <c r="F49" s="67"/>
      <c r="G49" s="67">
        <v>135.4</v>
      </c>
      <c r="H49" s="67">
        <v>22.2</v>
      </c>
      <c r="I49" s="67"/>
      <c r="J49" s="72"/>
      <c r="K49" s="67">
        <v>61.7</v>
      </c>
      <c r="L49" s="72"/>
      <c r="M49" s="67"/>
      <c r="N49" s="67"/>
      <c r="O49" s="71">
        <v>29.1</v>
      </c>
      <c r="P49" s="67">
        <v>16.4</v>
      </c>
      <c r="Q49" s="67">
        <v>65.8</v>
      </c>
      <c r="R49" s="67">
        <v>1.8</v>
      </c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332.40000000000003</v>
      </c>
      <c r="AG49" s="72">
        <f>B49+C49-AF49</f>
        <v>1065.3739</v>
      </c>
    </row>
    <row r="50" spans="1:33" ht="30" hidden="1">
      <c r="A50" s="49" t="s">
        <v>34</v>
      </c>
      <c r="B50" s="144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144">
        <f>B47-B48-B49</f>
        <v>155.5</v>
      </c>
      <c r="C51" s="72">
        <v>489.37032999999593</v>
      </c>
      <c r="D51" s="67">
        <f aca="true" t="shared" si="10" ref="D51:AD51">D47-D48-D49</f>
        <v>0</v>
      </c>
      <c r="E51" s="67">
        <f t="shared" si="10"/>
        <v>22.2</v>
      </c>
      <c r="F51" s="67">
        <f t="shared" si="10"/>
        <v>9.8</v>
      </c>
      <c r="G51" s="67">
        <f t="shared" si="10"/>
        <v>0.09999999999999432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4.2</v>
      </c>
      <c r="M51" s="67">
        <f t="shared" si="10"/>
        <v>0</v>
      </c>
      <c r="N51" s="67">
        <f t="shared" si="10"/>
        <v>0</v>
      </c>
      <c r="O51" s="67">
        <f t="shared" si="10"/>
        <v>15.399999999999999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51.699999999999996</v>
      </c>
      <c r="AG51" s="72">
        <f>AG47-AG49-AG48</f>
        <v>593.1703299999959</v>
      </c>
    </row>
    <row r="52" spans="1:33" ht="15" customHeight="1">
      <c r="A52" s="4" t="s">
        <v>0</v>
      </c>
      <c r="B52" s="144">
        <f>5311.7-332.8-568.7</f>
        <v>4410.2</v>
      </c>
      <c r="C52" s="72">
        <v>3203.4122600000005</v>
      </c>
      <c r="D52" s="67"/>
      <c r="E52" s="67"/>
      <c r="F52" s="67"/>
      <c r="G52" s="67">
        <v>719.7</v>
      </c>
      <c r="H52" s="67">
        <v>249.3</v>
      </c>
      <c r="I52" s="67"/>
      <c r="J52" s="72"/>
      <c r="K52" s="67">
        <v>22</v>
      </c>
      <c r="L52" s="72">
        <v>796</v>
      </c>
      <c r="M52" s="67">
        <v>6.6</v>
      </c>
      <c r="N52" s="67"/>
      <c r="O52" s="71">
        <v>58.6</v>
      </c>
      <c r="P52" s="67"/>
      <c r="Q52" s="67">
        <v>18.6</v>
      </c>
      <c r="R52" s="67"/>
      <c r="S52" s="72">
        <v>983.4</v>
      </c>
      <c r="T52" s="72">
        <v>30.1</v>
      </c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2884.2999999999997</v>
      </c>
      <c r="AG52" s="72">
        <f aca="true" t="shared" si="11" ref="AG52:AG59">B52+C52-AF52</f>
        <v>4729.312260000001</v>
      </c>
    </row>
    <row r="53" spans="1:33" ht="15" customHeight="1">
      <c r="A53" s="3" t="s">
        <v>2</v>
      </c>
      <c r="B53" s="144">
        <v>1058.9</v>
      </c>
      <c r="C53" s="72">
        <v>1028.574</v>
      </c>
      <c r="D53" s="67"/>
      <c r="E53" s="67"/>
      <c r="F53" s="67"/>
      <c r="G53" s="67">
        <v>719.7</v>
      </c>
      <c r="H53" s="67"/>
      <c r="I53" s="67"/>
      <c r="J53" s="72"/>
      <c r="K53" s="67">
        <v>5.7</v>
      </c>
      <c r="L53" s="72"/>
      <c r="M53" s="67">
        <v>3.5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728.9000000000001</v>
      </c>
      <c r="AG53" s="72">
        <f t="shared" si="11"/>
        <v>1358.574</v>
      </c>
    </row>
    <row r="54" spans="1:34" ht="15" customHeight="1">
      <c r="A54" s="4" t="s">
        <v>9</v>
      </c>
      <c r="B54" s="147">
        <f>2103.8+27.7+2</f>
        <v>2133.5</v>
      </c>
      <c r="C54" s="72">
        <v>1641.034</v>
      </c>
      <c r="D54" s="67"/>
      <c r="E54" s="67">
        <v>510.4</v>
      </c>
      <c r="F54" s="67"/>
      <c r="G54" s="67"/>
      <c r="H54" s="67">
        <v>450.2</v>
      </c>
      <c r="I54" s="67"/>
      <c r="J54" s="72"/>
      <c r="K54" s="67"/>
      <c r="L54" s="72"/>
      <c r="M54" s="67">
        <v>96</v>
      </c>
      <c r="N54" s="67"/>
      <c r="O54" s="71">
        <v>254.5</v>
      </c>
      <c r="P54" s="67"/>
      <c r="Q54" s="71">
        <v>313.5</v>
      </c>
      <c r="R54" s="67"/>
      <c r="S54" s="72"/>
      <c r="T54" s="72">
        <v>33.3</v>
      </c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1657.8999999999999</v>
      </c>
      <c r="AG54" s="72">
        <f t="shared" si="11"/>
        <v>2116.634</v>
      </c>
      <c r="AH54" s="6"/>
    </row>
    <row r="55" spans="1:34" ht="15.75">
      <c r="A55" s="3" t="s">
        <v>5</v>
      </c>
      <c r="B55" s="144">
        <v>1045</v>
      </c>
      <c r="C55" s="72">
        <v>907.8739999999999</v>
      </c>
      <c r="D55" s="67"/>
      <c r="E55" s="67">
        <v>372.7</v>
      </c>
      <c r="F55" s="67"/>
      <c r="G55" s="67"/>
      <c r="H55" s="67"/>
      <c r="I55" s="67"/>
      <c r="J55" s="72"/>
      <c r="K55" s="67"/>
      <c r="L55" s="72"/>
      <c r="M55" s="67">
        <v>96</v>
      </c>
      <c r="N55" s="67"/>
      <c r="O55" s="71">
        <v>254.3</v>
      </c>
      <c r="P55" s="67"/>
      <c r="Q55" s="71">
        <v>89.8</v>
      </c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812.8</v>
      </c>
      <c r="AG55" s="72">
        <f t="shared" si="11"/>
        <v>1140.0739999999998</v>
      </c>
      <c r="AH55" s="6"/>
    </row>
    <row r="56" spans="1:34" ht="15" customHeight="1">
      <c r="A56" s="3" t="s">
        <v>1</v>
      </c>
      <c r="B56" s="144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149">
        <f>82.7+27.7</f>
        <v>110.4</v>
      </c>
      <c r="C57" s="72">
        <v>52.67300000000012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>
        <v>6.3</v>
      </c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6.3</v>
      </c>
      <c r="AG57" s="72">
        <f t="shared" si="11"/>
        <v>156.7730000000001</v>
      </c>
    </row>
    <row r="58" spans="1:33" ht="15.75">
      <c r="A58" s="3" t="s">
        <v>16</v>
      </c>
      <c r="B58" s="149">
        <v>5.1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5.1</v>
      </c>
    </row>
    <row r="59" spans="1:33" ht="15.75" hidden="1">
      <c r="A59" s="3" t="s">
        <v>15</v>
      </c>
      <c r="B59" s="144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144">
        <f aca="true" t="shared" si="12" ref="B60:AD60">B54-B55-B57-B59-B56-B58</f>
        <v>973</v>
      </c>
      <c r="C60" s="72">
        <v>680.4870000000001</v>
      </c>
      <c r="D60" s="67">
        <f t="shared" si="12"/>
        <v>0</v>
      </c>
      <c r="E60" s="67">
        <f>E54-E55-E57-E59-E56-E58</f>
        <v>137.7</v>
      </c>
      <c r="F60" s="67">
        <f t="shared" si="12"/>
        <v>0</v>
      </c>
      <c r="G60" s="67">
        <f t="shared" si="12"/>
        <v>0</v>
      </c>
      <c r="H60" s="67">
        <f t="shared" si="12"/>
        <v>450.2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0.19999999999998863</v>
      </c>
      <c r="P60" s="67">
        <f t="shared" si="12"/>
        <v>0</v>
      </c>
      <c r="Q60" s="67">
        <f t="shared" si="12"/>
        <v>223.7</v>
      </c>
      <c r="R60" s="67">
        <f t="shared" si="12"/>
        <v>0</v>
      </c>
      <c r="S60" s="67">
        <f t="shared" si="12"/>
        <v>0</v>
      </c>
      <c r="T60" s="67">
        <f t="shared" si="12"/>
        <v>26.999999999999996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838.8</v>
      </c>
      <c r="AG60" s="72">
        <f>AG54-AG55-AG57-AG59-AG56-AG58</f>
        <v>814.687</v>
      </c>
    </row>
    <row r="61" spans="1:33" ht="15" customHeight="1">
      <c r="A61" s="4" t="s">
        <v>10</v>
      </c>
      <c r="B61" s="144">
        <f>54.4-20</f>
        <v>34.4</v>
      </c>
      <c r="C61" s="72">
        <v>646.1</v>
      </c>
      <c r="D61" s="67"/>
      <c r="E61" s="67">
        <v>3.9</v>
      </c>
      <c r="F61" s="67">
        <v>1.2</v>
      </c>
      <c r="G61" s="67"/>
      <c r="H61" s="67">
        <v>1.7</v>
      </c>
      <c r="I61" s="67"/>
      <c r="J61" s="72"/>
      <c r="K61" s="67">
        <v>0.1</v>
      </c>
      <c r="L61" s="72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6.8999999999999995</v>
      </c>
      <c r="AG61" s="72">
        <f aca="true" t="shared" si="14" ref="AG61:AG67">B61+C61-AF61</f>
        <v>673.6</v>
      </c>
    </row>
    <row r="62" spans="1:33" s="18" customFormat="1" ht="15" customHeight="1">
      <c r="A62" s="108" t="s">
        <v>11</v>
      </c>
      <c r="B62" s="144">
        <f>3016.4+124.4</f>
        <v>3140.8</v>
      </c>
      <c r="C62" s="72">
        <v>4440.799999999999</v>
      </c>
      <c r="D62" s="72"/>
      <c r="E62" s="72"/>
      <c r="F62" s="72"/>
      <c r="G62" s="72"/>
      <c r="H62" s="72">
        <v>82.3</v>
      </c>
      <c r="I62" s="72"/>
      <c r="J62" s="72"/>
      <c r="K62" s="72">
        <v>1010.5</v>
      </c>
      <c r="L62" s="72"/>
      <c r="M62" s="72">
        <v>54.2</v>
      </c>
      <c r="N62" s="72"/>
      <c r="O62" s="72"/>
      <c r="P62" s="72"/>
      <c r="Q62" s="72">
        <v>157.6</v>
      </c>
      <c r="R62" s="72">
        <v>329.1</v>
      </c>
      <c r="S62" s="72"/>
      <c r="T62" s="72">
        <v>33.3</v>
      </c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1666.9999999999998</v>
      </c>
      <c r="AG62" s="72">
        <f t="shared" si="14"/>
        <v>5914.599999999999</v>
      </c>
    </row>
    <row r="63" spans="1:34" ht="15.75">
      <c r="A63" s="3" t="s">
        <v>5</v>
      </c>
      <c r="B63" s="144">
        <v>1626.6</v>
      </c>
      <c r="C63" s="72">
        <v>1099.1490000000008</v>
      </c>
      <c r="D63" s="67"/>
      <c r="E63" s="67"/>
      <c r="F63" s="67"/>
      <c r="G63" s="67"/>
      <c r="H63" s="67"/>
      <c r="I63" s="67"/>
      <c r="J63" s="72"/>
      <c r="K63" s="67">
        <v>694.7</v>
      </c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694.7</v>
      </c>
      <c r="AG63" s="72">
        <f t="shared" si="14"/>
        <v>2031.0490000000007</v>
      </c>
      <c r="AH63" s="121"/>
    </row>
    <row r="64" spans="1:34" ht="15.75">
      <c r="A64" s="3" t="s">
        <v>3</v>
      </c>
      <c r="B64" s="144">
        <v>5.2</v>
      </c>
      <c r="C64" s="72">
        <v>4.5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9.7</v>
      </c>
      <c r="AH64" s="6"/>
    </row>
    <row r="65" spans="1:34" ht="15.75">
      <c r="A65" s="3" t="s">
        <v>1</v>
      </c>
      <c r="B65" s="144">
        <v>114.9</v>
      </c>
      <c r="C65" s="72">
        <v>154.35000000000002</v>
      </c>
      <c r="D65" s="67"/>
      <c r="E65" s="67"/>
      <c r="F65" s="67"/>
      <c r="G65" s="67"/>
      <c r="H65" s="67">
        <v>35.5</v>
      </c>
      <c r="I65" s="67"/>
      <c r="J65" s="72"/>
      <c r="K65" s="67"/>
      <c r="L65" s="72"/>
      <c r="M65" s="67">
        <v>24.1</v>
      </c>
      <c r="N65" s="67"/>
      <c r="O65" s="71"/>
      <c r="P65" s="67"/>
      <c r="Q65" s="71">
        <v>15</v>
      </c>
      <c r="R65" s="67"/>
      <c r="S65" s="72"/>
      <c r="T65" s="72">
        <v>22.2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96.8</v>
      </c>
      <c r="AG65" s="72">
        <f t="shared" si="14"/>
        <v>172.45</v>
      </c>
      <c r="AH65" s="6"/>
    </row>
    <row r="66" spans="1:33" ht="15.75">
      <c r="A66" s="3" t="s">
        <v>2</v>
      </c>
      <c r="B66" s="144">
        <f>117.9+106.2</f>
        <v>224.10000000000002</v>
      </c>
      <c r="C66" s="72">
        <v>159.43</v>
      </c>
      <c r="D66" s="67"/>
      <c r="E66" s="67"/>
      <c r="F66" s="67"/>
      <c r="G66" s="67"/>
      <c r="H66" s="67">
        <v>0.5</v>
      </c>
      <c r="I66" s="67"/>
      <c r="J66" s="72"/>
      <c r="K66" s="67">
        <v>1.3</v>
      </c>
      <c r="L66" s="72"/>
      <c r="M66" s="67">
        <v>11.9</v>
      </c>
      <c r="N66" s="67"/>
      <c r="O66" s="71"/>
      <c r="P66" s="67"/>
      <c r="Q66" s="67">
        <v>2.6</v>
      </c>
      <c r="R66" s="67">
        <v>1</v>
      </c>
      <c r="S66" s="72"/>
      <c r="T66" s="72">
        <v>1.6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18.900000000000002</v>
      </c>
      <c r="AG66" s="72">
        <f t="shared" si="14"/>
        <v>364.63000000000005</v>
      </c>
    </row>
    <row r="67" spans="1:33" ht="15.75">
      <c r="A67" s="3" t="s">
        <v>16</v>
      </c>
      <c r="B67" s="144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106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106</v>
      </c>
      <c r="AG67" s="72">
        <f t="shared" si="14"/>
        <v>4</v>
      </c>
    </row>
    <row r="68" spans="1:33" ht="15.75">
      <c r="A68" s="3" t="s">
        <v>23</v>
      </c>
      <c r="B68" s="144">
        <f>B62-B63-B66-B67-B65-B64</f>
        <v>1060.0000000000002</v>
      </c>
      <c r="C68" s="72">
        <v>3023.3709999999987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46.3</v>
      </c>
      <c r="I68" s="67">
        <f t="shared" si="15"/>
        <v>0</v>
      </c>
      <c r="J68" s="72">
        <f t="shared" si="15"/>
        <v>0</v>
      </c>
      <c r="K68" s="67">
        <f t="shared" si="15"/>
        <v>314.49999999999994</v>
      </c>
      <c r="L68" s="72">
        <f t="shared" si="15"/>
        <v>0</v>
      </c>
      <c r="M68" s="67">
        <f t="shared" si="15"/>
        <v>18.200000000000003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34</v>
      </c>
      <c r="R68" s="67">
        <f t="shared" si="15"/>
        <v>328.1</v>
      </c>
      <c r="S68" s="67">
        <f t="shared" si="15"/>
        <v>0</v>
      </c>
      <c r="T68" s="67">
        <f t="shared" si="15"/>
        <v>9.499999999999996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750.5999999999999</v>
      </c>
      <c r="AG68" s="72">
        <f>AG62-AG63-AG66-AG67-AG65-AG64</f>
        <v>3332.770999999999</v>
      </c>
    </row>
    <row r="69" spans="1:33" ht="31.5">
      <c r="A69" s="4" t="s">
        <v>45</v>
      </c>
      <c r="B69" s="144">
        <f>0.2+3053.2+1425.5+1000</f>
        <v>5478.9</v>
      </c>
      <c r="C69" s="72">
        <v>18.238999999999578</v>
      </c>
      <c r="D69" s="67"/>
      <c r="E69" s="67"/>
      <c r="F69" s="67"/>
      <c r="G69" s="67"/>
      <c r="H69" s="67"/>
      <c r="I69" s="67"/>
      <c r="J69" s="72"/>
      <c r="K69" s="67">
        <v>1941.5</v>
      </c>
      <c r="L69" s="72"/>
      <c r="M69" s="67"/>
      <c r="N69" s="67"/>
      <c r="O69" s="67"/>
      <c r="P69" s="67"/>
      <c r="Q69" s="67"/>
      <c r="R69" s="67"/>
      <c r="S69" s="72"/>
      <c r="T69" s="72">
        <v>3537.3</v>
      </c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5478.8</v>
      </c>
      <c r="AG69" s="130">
        <f aca="true" t="shared" si="16" ref="AG69:AG92">B69+C69-AF69</f>
        <v>18.338999999999032</v>
      </c>
    </row>
    <row r="70" spans="1:33" ht="15.75" hidden="1">
      <c r="A70" s="4" t="s">
        <v>32</v>
      </c>
      <c r="B70" s="144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44">
        <f>2700-1020</f>
        <v>1680</v>
      </c>
      <c r="C71" s="80">
        <v>904.9999999999998</v>
      </c>
      <c r="D71" s="79"/>
      <c r="E71" s="79"/>
      <c r="F71" s="79"/>
      <c r="G71" s="79"/>
      <c r="H71" s="79">
        <v>1599.5</v>
      </c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1599.5</v>
      </c>
      <c r="AG71" s="130">
        <f t="shared" si="16"/>
        <v>985.5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47">
        <v>1123.4</v>
      </c>
      <c r="C72" s="72">
        <v>3748.8</v>
      </c>
      <c r="D72" s="67"/>
      <c r="E72" s="67">
        <v>36.1</v>
      </c>
      <c r="F72" s="67">
        <v>113.5</v>
      </c>
      <c r="G72" s="67"/>
      <c r="H72" s="67">
        <v>81.9</v>
      </c>
      <c r="I72" s="67"/>
      <c r="J72" s="72"/>
      <c r="K72" s="67">
        <f>6.3+0.8+5</f>
        <v>12.1</v>
      </c>
      <c r="L72" s="72"/>
      <c r="M72" s="67">
        <v>19.4</v>
      </c>
      <c r="N72" s="67"/>
      <c r="O72" s="67">
        <v>7</v>
      </c>
      <c r="P72" s="67">
        <v>3.8</v>
      </c>
      <c r="Q72" s="71">
        <v>24.8</v>
      </c>
      <c r="R72" s="67">
        <v>17.1</v>
      </c>
      <c r="S72" s="72">
        <v>1.2</v>
      </c>
      <c r="T72" s="72">
        <v>3</v>
      </c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319.90000000000003</v>
      </c>
      <c r="AG72" s="130">
        <f t="shared" si="16"/>
        <v>4552.300000000001</v>
      </c>
      <c r="AH72" s="86">
        <f>AG72+AG69+AG76+AG91+AG83+AG88</f>
        <v>5894.27925</v>
      </c>
    </row>
    <row r="73" spans="1:33" ht="15" customHeight="1">
      <c r="A73" s="3" t="s">
        <v>5</v>
      </c>
      <c r="B73" s="144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45.4</v>
      </c>
    </row>
    <row r="74" spans="1:33" ht="15" customHeight="1">
      <c r="A74" s="3" t="s">
        <v>2</v>
      </c>
      <c r="B74" s="144">
        <v>265.4</v>
      </c>
      <c r="C74" s="72">
        <v>530.1</v>
      </c>
      <c r="D74" s="67"/>
      <c r="E74" s="67">
        <v>36.1</v>
      </c>
      <c r="F74" s="67">
        <v>24</v>
      </c>
      <c r="G74" s="67"/>
      <c r="H74" s="67"/>
      <c r="I74" s="67"/>
      <c r="J74" s="72"/>
      <c r="K74" s="67">
        <v>0.5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60.6</v>
      </c>
      <c r="AG74" s="130">
        <f t="shared" si="16"/>
        <v>734.9</v>
      </c>
    </row>
    <row r="75" spans="1:33" ht="15" customHeight="1">
      <c r="A75" s="3" t="s">
        <v>16</v>
      </c>
      <c r="B75" s="144">
        <v>79.2</v>
      </c>
      <c r="C75" s="72">
        <v>389.7</v>
      </c>
      <c r="D75" s="67"/>
      <c r="E75" s="67"/>
      <c r="F75" s="67"/>
      <c r="G75" s="67"/>
      <c r="H75" s="67"/>
      <c r="I75" s="67"/>
      <c r="J75" s="72"/>
      <c r="K75" s="67"/>
      <c r="L75" s="72"/>
      <c r="M75" s="67">
        <v>7.1</v>
      </c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461.79999999999995</v>
      </c>
    </row>
    <row r="76" spans="1:35" s="11" customFormat="1" ht="15.75">
      <c r="A76" s="12" t="s">
        <v>48</v>
      </c>
      <c r="B76" s="144">
        <f>131-88.1</f>
        <v>42.900000000000006</v>
      </c>
      <c r="C76" s="72">
        <v>117.04024999999984</v>
      </c>
      <c r="D76" s="67"/>
      <c r="E76" s="79"/>
      <c r="F76" s="79"/>
      <c r="G76" s="79"/>
      <c r="H76" s="79"/>
      <c r="I76" s="79"/>
      <c r="J76" s="80"/>
      <c r="K76" s="79">
        <v>47.6</v>
      </c>
      <c r="L76" s="80"/>
      <c r="M76" s="79"/>
      <c r="N76" s="79"/>
      <c r="O76" s="79">
        <v>4.6</v>
      </c>
      <c r="P76" s="79"/>
      <c r="Q76" s="81"/>
      <c r="R76" s="79">
        <v>0.8</v>
      </c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53</v>
      </c>
      <c r="AG76" s="130">
        <f t="shared" si="16"/>
        <v>106.94024999999985</v>
      </c>
      <c r="AI76" s="128"/>
    </row>
    <row r="77" spans="1:33" s="11" customFormat="1" ht="15.75">
      <c r="A77" s="3" t="s">
        <v>5</v>
      </c>
      <c r="B77" s="144">
        <v>109.8</v>
      </c>
      <c r="C77" s="72">
        <v>2.6999999999999886</v>
      </c>
      <c r="D77" s="67"/>
      <c r="E77" s="79"/>
      <c r="F77" s="79"/>
      <c r="G77" s="79"/>
      <c r="H77" s="79"/>
      <c r="I77" s="79"/>
      <c r="J77" s="80"/>
      <c r="K77" s="79">
        <v>47.6</v>
      </c>
      <c r="L77" s="80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47.6</v>
      </c>
      <c r="AG77" s="130">
        <f t="shared" si="16"/>
        <v>64.89999999999998</v>
      </c>
    </row>
    <row r="78" spans="1:33" s="11" customFormat="1" ht="15.75" hidden="1">
      <c r="A78" s="3" t="s">
        <v>3</v>
      </c>
      <c r="B78" s="144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44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44">
        <v>2.6</v>
      </c>
      <c r="C80" s="72">
        <v>12.8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>
        <v>3.9</v>
      </c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3.9</v>
      </c>
      <c r="AG80" s="130">
        <f t="shared" si="16"/>
        <v>11.5</v>
      </c>
    </row>
    <row r="81" spans="1:33" s="11" customFormat="1" ht="15.75">
      <c r="A81" s="12" t="s">
        <v>49</v>
      </c>
      <c r="B81" s="144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144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15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44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44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44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44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144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144">
        <f>2734.2+215.3</f>
        <v>2949.5</v>
      </c>
      <c r="C89" s="72">
        <v>5868.4</v>
      </c>
      <c r="D89" s="67"/>
      <c r="E89" s="67"/>
      <c r="F89" s="67"/>
      <c r="G89" s="67">
        <v>2254</v>
      </c>
      <c r="H89" s="67"/>
      <c r="I89" s="67"/>
      <c r="J89" s="72"/>
      <c r="K89" s="67"/>
      <c r="L89" s="72">
        <v>1751.3</v>
      </c>
      <c r="M89" s="67">
        <v>90.1</v>
      </c>
      <c r="N89" s="67"/>
      <c r="O89" s="67"/>
      <c r="P89" s="67"/>
      <c r="Q89" s="67"/>
      <c r="R89" s="67"/>
      <c r="S89" s="72">
        <v>449.8</v>
      </c>
      <c r="T89" s="72">
        <v>362.8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4908</v>
      </c>
      <c r="AG89" s="72">
        <f t="shared" si="16"/>
        <v>3909.8999999999996</v>
      </c>
      <c r="AH89" s="11"/>
      <c r="AI89" s="86"/>
    </row>
    <row r="90" spans="1:34" ht="15.75">
      <c r="A90" s="4" t="s">
        <v>51</v>
      </c>
      <c r="B90" s="144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72">
        <f t="shared" si="16"/>
        <v>1173.1000000000004</v>
      </c>
      <c r="AH90" s="11"/>
    </row>
    <row r="91" spans="1:34" ht="15.75">
      <c r="A91" s="4" t="s">
        <v>25</v>
      </c>
      <c r="B91" s="144">
        <v>566.7</v>
      </c>
      <c r="C91" s="72">
        <v>560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1126.7</v>
      </c>
      <c r="AH91" s="11"/>
    </row>
    <row r="92" spans="1:34" ht="15.75">
      <c r="A92" s="4" t="s">
        <v>37</v>
      </c>
      <c r="B92" s="144">
        <f>29243.8-1612.3-1000-1425.5-646.6</f>
        <v>24559.4</v>
      </c>
      <c r="C92" s="72">
        <v>80066.7</v>
      </c>
      <c r="D92" s="67"/>
      <c r="E92" s="67"/>
      <c r="F92" s="67">
        <v>39.7</v>
      </c>
      <c r="G92" s="67">
        <v>981</v>
      </c>
      <c r="H92" s="67">
        <v>537</v>
      </c>
      <c r="I92" s="67"/>
      <c r="J92" s="72"/>
      <c r="K92" s="67">
        <v>4749.9</v>
      </c>
      <c r="L92" s="72">
        <v>21185.8</v>
      </c>
      <c r="M92" s="67">
        <v>2430.9</v>
      </c>
      <c r="N92" s="67"/>
      <c r="O92" s="67"/>
      <c r="P92" s="67">
        <v>5602</v>
      </c>
      <c r="Q92" s="67">
        <v>253.8</v>
      </c>
      <c r="R92" s="67">
        <f>2943.4+778.2</f>
        <v>3721.6000000000004</v>
      </c>
      <c r="S92" s="72">
        <v>4071.9</v>
      </c>
      <c r="T92" s="72">
        <v>1419.6</v>
      </c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44993.200000000004</v>
      </c>
      <c r="AG92" s="72">
        <f t="shared" si="16"/>
        <v>59632.9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172069.59999999998</v>
      </c>
      <c r="C94" s="132">
        <f t="shared" si="17"/>
        <v>159276.81951999996</v>
      </c>
      <c r="D94" s="83">
        <f t="shared" si="17"/>
        <v>317.2</v>
      </c>
      <c r="E94" s="83">
        <f t="shared" si="17"/>
        <v>7981.900000000001</v>
      </c>
      <c r="F94" s="83">
        <f t="shared" si="17"/>
        <v>277.8</v>
      </c>
      <c r="G94" s="83">
        <f t="shared" si="17"/>
        <v>5021.8</v>
      </c>
      <c r="H94" s="83">
        <f t="shared" si="17"/>
        <v>5794.9</v>
      </c>
      <c r="I94" s="83">
        <f t="shared" si="17"/>
        <v>0</v>
      </c>
      <c r="J94" s="132">
        <f t="shared" si="17"/>
        <v>0</v>
      </c>
      <c r="K94" s="83">
        <f t="shared" si="17"/>
        <v>41946.19999999999</v>
      </c>
      <c r="L94" s="132">
        <f t="shared" si="17"/>
        <v>27848.6</v>
      </c>
      <c r="M94" s="83">
        <f t="shared" si="17"/>
        <v>4398.6</v>
      </c>
      <c r="N94" s="83">
        <f t="shared" si="17"/>
        <v>0</v>
      </c>
      <c r="O94" s="83">
        <f t="shared" si="17"/>
        <v>1803.6999999999998</v>
      </c>
      <c r="P94" s="83">
        <f t="shared" si="17"/>
        <v>6029.1</v>
      </c>
      <c r="Q94" s="83">
        <f t="shared" si="17"/>
        <v>860.3</v>
      </c>
      <c r="R94" s="83">
        <f t="shared" si="17"/>
        <v>8699</v>
      </c>
      <c r="S94" s="83">
        <f t="shared" si="17"/>
        <v>6183.6</v>
      </c>
      <c r="T94" s="83">
        <f t="shared" si="17"/>
        <v>6632.5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123795.20000000001</v>
      </c>
      <c r="AG94" s="84">
        <f>AG10+AG15+AG24+AG33+AG47+AG52+AG54+AG61+AG62+AG69+AG71+AG72+AG76+AG81+AG82+AG83+AG88+AG89+AG90+AG91+AG70+AG40+AG92</f>
        <v>207551.21952</v>
      </c>
    </row>
    <row r="95" spans="1:33" ht="15.75">
      <c r="A95" s="3" t="s">
        <v>5</v>
      </c>
      <c r="B95" s="22">
        <f>B11+B17+B26+B34+B55+B63+B73+B41+B77+B48</f>
        <v>77260.29999999999</v>
      </c>
      <c r="C95" s="109">
        <f aca="true" t="shared" si="18" ref="C95:AD95">C11+C17+C26+C34+C55+C63+C73+C41+C77+C48</f>
        <v>22913.692000000006</v>
      </c>
      <c r="D95" s="67">
        <f t="shared" si="18"/>
        <v>317.2</v>
      </c>
      <c r="E95" s="67">
        <f t="shared" si="18"/>
        <v>7762.9</v>
      </c>
      <c r="F95" s="67">
        <f t="shared" si="18"/>
        <v>0</v>
      </c>
      <c r="G95" s="67">
        <f t="shared" si="18"/>
        <v>0</v>
      </c>
      <c r="H95" s="67">
        <f t="shared" si="18"/>
        <v>0</v>
      </c>
      <c r="I95" s="67">
        <f t="shared" si="18"/>
        <v>0</v>
      </c>
      <c r="J95" s="72">
        <f t="shared" si="18"/>
        <v>0</v>
      </c>
      <c r="K95" s="67">
        <f t="shared" si="18"/>
        <v>25405.699999999997</v>
      </c>
      <c r="L95" s="72">
        <f t="shared" si="18"/>
        <v>2085.3</v>
      </c>
      <c r="M95" s="67">
        <f t="shared" si="18"/>
        <v>96</v>
      </c>
      <c r="N95" s="67">
        <f t="shared" si="18"/>
        <v>0</v>
      </c>
      <c r="O95" s="67">
        <f t="shared" si="18"/>
        <v>265</v>
      </c>
      <c r="P95" s="67">
        <f t="shared" si="18"/>
        <v>0</v>
      </c>
      <c r="Q95" s="67">
        <f t="shared" si="18"/>
        <v>89.8</v>
      </c>
      <c r="R95" s="67">
        <f t="shared" si="18"/>
        <v>0</v>
      </c>
      <c r="S95" s="67">
        <f t="shared" si="18"/>
        <v>0</v>
      </c>
      <c r="T95" s="67">
        <f t="shared" si="18"/>
        <v>12.5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36034.4</v>
      </c>
      <c r="AG95" s="71">
        <f>B95+C95-AF95</f>
        <v>64139.592</v>
      </c>
    </row>
    <row r="96" spans="1:33" ht="15.75">
      <c r="A96" s="3" t="s">
        <v>2</v>
      </c>
      <c r="B96" s="22">
        <f aca="true" t="shared" si="19" ref="B96:AD96">B12+B20+B29+B36+B57+B66+B44+B80+B74+B53</f>
        <v>8608.900000000001</v>
      </c>
      <c r="C96" s="109">
        <f t="shared" si="19"/>
        <v>3938.371000000001</v>
      </c>
      <c r="D96" s="67">
        <f t="shared" si="19"/>
        <v>0</v>
      </c>
      <c r="E96" s="67">
        <f t="shared" si="19"/>
        <v>36.1</v>
      </c>
      <c r="F96" s="67">
        <f t="shared" si="19"/>
        <v>62.3</v>
      </c>
      <c r="G96" s="67">
        <f t="shared" si="19"/>
        <v>813.5</v>
      </c>
      <c r="H96" s="67">
        <f t="shared" si="19"/>
        <v>446.9</v>
      </c>
      <c r="I96" s="67">
        <f t="shared" si="19"/>
        <v>0</v>
      </c>
      <c r="J96" s="72">
        <f t="shared" si="19"/>
        <v>0</v>
      </c>
      <c r="K96" s="67">
        <f t="shared" si="19"/>
        <v>140.8</v>
      </c>
      <c r="L96" s="72">
        <f t="shared" si="19"/>
        <v>158.9</v>
      </c>
      <c r="M96" s="67">
        <f t="shared" si="19"/>
        <v>1047</v>
      </c>
      <c r="N96" s="67">
        <f t="shared" si="19"/>
        <v>0</v>
      </c>
      <c r="O96" s="67">
        <f t="shared" si="19"/>
        <v>32.9</v>
      </c>
      <c r="P96" s="67">
        <f t="shared" si="19"/>
        <v>19.6</v>
      </c>
      <c r="Q96" s="67">
        <f t="shared" si="19"/>
        <v>2.6</v>
      </c>
      <c r="R96" s="67">
        <f t="shared" si="19"/>
        <v>598.4</v>
      </c>
      <c r="S96" s="67">
        <f t="shared" si="19"/>
        <v>0</v>
      </c>
      <c r="T96" s="67">
        <f t="shared" si="19"/>
        <v>469.1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3828.1</v>
      </c>
      <c r="AG96" s="71">
        <f>B96+C96-AF96</f>
        <v>8719.171000000002</v>
      </c>
    </row>
    <row r="97" spans="1:33" ht="15.75">
      <c r="A97" s="3" t="s">
        <v>3</v>
      </c>
      <c r="B97" s="22">
        <f aca="true" t="shared" si="20" ref="B97:AA97">B18+B27+B42+B64+B78</f>
        <v>51.300000000000004</v>
      </c>
      <c r="C97" s="109">
        <f t="shared" si="20"/>
        <v>31.5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3.6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2.1</v>
      </c>
      <c r="M97" s="67">
        <f t="shared" si="20"/>
        <v>4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2.9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12.6</v>
      </c>
      <c r="AG97" s="71">
        <f>B97+C97-AF97</f>
        <v>70.20000000000002</v>
      </c>
    </row>
    <row r="98" spans="1:33" ht="15.75">
      <c r="A98" s="3" t="s">
        <v>1</v>
      </c>
      <c r="B98" s="22">
        <f aca="true" t="shared" si="21" ref="B98:AD98">B19+B28+B65+B35+B43+B56+B79</f>
        <v>4258.1</v>
      </c>
      <c r="C98" s="109">
        <f t="shared" si="21"/>
        <v>5298.736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632.4</v>
      </c>
      <c r="H98" s="67">
        <f t="shared" si="21"/>
        <v>567.7</v>
      </c>
      <c r="I98" s="67">
        <f t="shared" si="21"/>
        <v>0</v>
      </c>
      <c r="J98" s="72">
        <f t="shared" si="21"/>
        <v>0</v>
      </c>
      <c r="K98" s="67">
        <f t="shared" si="21"/>
        <v>302.09999999999997</v>
      </c>
      <c r="L98" s="72">
        <f t="shared" si="21"/>
        <v>75.2</v>
      </c>
      <c r="M98" s="67">
        <f t="shared" si="21"/>
        <v>178.7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15</v>
      </c>
      <c r="R98" s="67">
        <f t="shared" si="21"/>
        <v>460.1</v>
      </c>
      <c r="S98" s="67">
        <f t="shared" si="21"/>
        <v>0</v>
      </c>
      <c r="T98" s="67">
        <f t="shared" si="21"/>
        <v>460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2691.2</v>
      </c>
      <c r="AG98" s="71">
        <f>B98+C98-AF98</f>
        <v>6865.6359999999995</v>
      </c>
    </row>
    <row r="99" spans="1:33" ht="15.75">
      <c r="A99" s="3" t="s">
        <v>16</v>
      </c>
      <c r="B99" s="22">
        <f aca="true" t="shared" si="22" ref="B99:X99">B21+B30+B49+B37+B58+B13+B75+B67</f>
        <v>1832.5</v>
      </c>
      <c r="C99" s="109">
        <f t="shared" si="22"/>
        <v>3058.7379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135.4</v>
      </c>
      <c r="H99" s="67">
        <f t="shared" si="22"/>
        <v>32.5</v>
      </c>
      <c r="I99" s="67">
        <f t="shared" si="22"/>
        <v>0</v>
      </c>
      <c r="J99" s="72">
        <f t="shared" si="22"/>
        <v>0</v>
      </c>
      <c r="K99" s="67">
        <f t="shared" si="22"/>
        <v>61.7</v>
      </c>
      <c r="L99" s="72">
        <f t="shared" si="22"/>
        <v>0</v>
      </c>
      <c r="M99" s="67">
        <f t="shared" si="22"/>
        <v>198</v>
      </c>
      <c r="N99" s="67">
        <f t="shared" si="22"/>
        <v>0</v>
      </c>
      <c r="O99" s="67">
        <f t="shared" si="22"/>
        <v>29.1</v>
      </c>
      <c r="P99" s="67">
        <f t="shared" si="22"/>
        <v>16.4</v>
      </c>
      <c r="Q99" s="67">
        <f t="shared" si="22"/>
        <v>171.8</v>
      </c>
      <c r="R99" s="67">
        <f t="shared" si="22"/>
        <v>138.3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783.2</v>
      </c>
      <c r="AG99" s="71">
        <f>B99+C99-AF99</f>
        <v>4108.0379</v>
      </c>
    </row>
    <row r="100" spans="1:33" ht="12.75">
      <c r="A100" s="1" t="s">
        <v>35</v>
      </c>
      <c r="B100" s="2">
        <f aca="true" t="shared" si="24" ref="B100:AD100">B94-B95-B96-B97-B98-B99</f>
        <v>80058.49999999999</v>
      </c>
      <c r="C100" s="20">
        <f t="shared" si="24"/>
        <v>124035.78261999993</v>
      </c>
      <c r="D100" s="85">
        <f t="shared" si="24"/>
        <v>0</v>
      </c>
      <c r="E100" s="85">
        <f t="shared" si="24"/>
        <v>182.90000000000092</v>
      </c>
      <c r="F100" s="85">
        <f t="shared" si="24"/>
        <v>215.5</v>
      </c>
      <c r="G100" s="85">
        <f t="shared" si="24"/>
        <v>3436.8999999999996</v>
      </c>
      <c r="H100" s="85">
        <f t="shared" si="24"/>
        <v>4747.8</v>
      </c>
      <c r="I100" s="85">
        <f t="shared" si="24"/>
        <v>0</v>
      </c>
      <c r="J100" s="131">
        <f t="shared" si="24"/>
        <v>0</v>
      </c>
      <c r="K100" s="85">
        <f t="shared" si="24"/>
        <v>16035.899999999992</v>
      </c>
      <c r="L100" s="131">
        <f t="shared" si="24"/>
        <v>25527.1</v>
      </c>
      <c r="M100" s="85">
        <f t="shared" si="24"/>
        <v>2874.9000000000005</v>
      </c>
      <c r="N100" s="85">
        <f t="shared" si="24"/>
        <v>0</v>
      </c>
      <c r="O100" s="85">
        <f t="shared" si="24"/>
        <v>1476.6999999999998</v>
      </c>
      <c r="P100" s="85">
        <f t="shared" si="24"/>
        <v>5993.1</v>
      </c>
      <c r="Q100" s="85">
        <f t="shared" si="24"/>
        <v>581.0999999999999</v>
      </c>
      <c r="R100" s="85">
        <f t="shared" si="24"/>
        <v>7499.3</v>
      </c>
      <c r="S100" s="85">
        <f t="shared" si="24"/>
        <v>6183.6</v>
      </c>
      <c r="T100" s="85">
        <f t="shared" si="24"/>
        <v>5690.9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80445.70000000001</v>
      </c>
      <c r="AG100" s="85">
        <f>AG94-AG95-AG96-AG97-AG98-AG99</f>
        <v>123648.58262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1" sqref="A61:IV6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3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.7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.7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.7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.7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20294.70000000001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85401.86021</v>
      </c>
      <c r="AH9" s="106"/>
      <c r="AI9" s="106"/>
    </row>
    <row r="10" spans="1:33" s="18" customFormat="1" ht="15.7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.7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.7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.7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.7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.7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.7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.7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.7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.7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.7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.7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7267.200000000001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24430.799999999996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2681.2999999999993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12197.3</v>
      </c>
      <c r="AH25" s="116"/>
    </row>
    <row r="26" spans="1:34" s="18" customFormat="1" ht="15.7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.7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.7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.7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.7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.7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.75">
      <c r="A32" s="110" t="s">
        <v>23</v>
      </c>
      <c r="B32" s="72">
        <f>B24</f>
        <v>33467.7</v>
      </c>
      <c r="C32" s="109">
        <f aca="true" t="shared" si="5" ref="C32:AD32">C24-C26-C27-C28-C29-C30-C31</f>
        <v>7267.200000000001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24430.799999999996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.7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.7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.7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.7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.7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.7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.7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.7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.7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.7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.7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.7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.7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.7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30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.7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.7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.7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.7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.7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.7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.7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.7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.7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.7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.7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.7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1.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.7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.7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.7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.7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20294.70000000001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85401.86021</v>
      </c>
    </row>
    <row r="95" spans="1:33" ht="15.7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.7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.7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2.7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12146.900000000012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43014.40356999999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2" sqref="A3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106387.87000000001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168012.69999999998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12931.3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333.20000000000005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133547.2</v>
      </c>
      <c r="AG9" s="69">
        <f>AG10+AG15+AG24+AG33+AG47+AG52+AG54+AG61+AG62+AG71+AG72+AG76+AG88+AG81+AG83+AG82+AG69+AG89+AG91+AG90+AG70+AG40+AG92</f>
        <v>47426.4</v>
      </c>
      <c r="AH9" s="41"/>
      <c r="AI9" s="41"/>
    </row>
    <row r="10" spans="1:33" ht="15.7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f>531.6+4.9</f>
        <v>536.5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16170.600000000002</v>
      </c>
      <c r="AG10" s="71">
        <f>B10+C10-AF10</f>
        <v>3568.4999999999964</v>
      </c>
    </row>
    <row r="11" spans="1:33" ht="15.7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.7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18.100000000000023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357.5000000000004</v>
      </c>
      <c r="AG14" s="71">
        <f>AG10-AG11-AG12-AG13</f>
        <v>706.0999999999935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.7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.7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.7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.7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f>33467.7-81.4</f>
        <v>33386.299999999996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6841.799999999996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72">
        <f>B24</f>
        <v>33386.299999999996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6841.799999999996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>
        <v>-3</v>
      </c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315.20000000000005</v>
      </c>
      <c r="AG33" s="71">
        <f aca="true" t="shared" si="6" ref="AG33:AG38">B33+C33-AF33</f>
        <v>43.39999999999998</v>
      </c>
    </row>
    <row r="34" spans="1:33" ht="15.7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18.300000000000004</v>
      </c>
      <c r="AG39" s="71">
        <f>AG33-AG34-AG36-AG38-AG35-AG37</f>
        <v>9.399999999999977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.7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.7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.7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.7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.7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.7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.7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.7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.7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.7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.7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.7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.7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1.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.7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.7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.7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.7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.7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168012.69999999998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12931.3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333.20000000000005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133547.2</v>
      </c>
      <c r="AG94" s="84">
        <f>AG10+AG15+AG24+AG33+AG47+AG52+AG54+AG61+AG62+AG69+AG71+AG72+AG76+AG81+AG82+AG83+AG88+AG89+AG90+AG91+AG70+AG40+AG92</f>
        <v>47426.4</v>
      </c>
    </row>
    <row r="95" spans="1:33" ht="15.7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.7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.7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2.75">
      <c r="A100" s="1" t="s">
        <v>35</v>
      </c>
      <c r="B100" s="2">
        <f aca="true" t="shared" si="24" ref="B100:AD100">B94-B95-B96-B97-B98-B99</f>
        <v>54701.99999999997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531.7000000000007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77.50000000000003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47391.20000000003</v>
      </c>
      <c r="AG100" s="85">
        <f>AG94-AG95-AG96-AG97-AG98-AG99</f>
        <v>20089.099999999973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J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131563.77000000014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206815.8</v>
      </c>
      <c r="C9" s="105">
        <f aca="true" t="shared" si="0" ref="C9:AD9">C10+C15+C24+C33+C47+C52+C54+C61+C62+C71+C72+C88+C76+C81+C83+C82+C69+C89+C90+C91+C70+C40+C92</f>
        <v>44593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12003.999999999998</v>
      </c>
      <c r="U9" s="68">
        <f t="shared" si="0"/>
        <v>48886.999999999985</v>
      </c>
      <c r="V9" s="68">
        <f t="shared" si="0"/>
        <v>8105.9</v>
      </c>
      <c r="W9" s="68">
        <f t="shared" si="0"/>
        <v>1305.0000000000002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152109.99999999994</v>
      </c>
      <c r="AG9" s="69">
        <f>AG10+AG15+AG24+AG33+AG47+AG52+AG54+AG61+AG62+AG71+AG72+AG76+AG88+AG81+AG83+AG82+AG69+AG89+AG91+AG90+AG70+AG40+AG92</f>
        <v>99298.79999999999</v>
      </c>
      <c r="AH9" s="41"/>
      <c r="AI9" s="41"/>
    </row>
    <row r="10" spans="1:34" ht="15.75">
      <c r="A10" s="4" t="s">
        <v>4</v>
      </c>
      <c r="B10" s="72">
        <f>18540+46.7+65.8</f>
        <v>18652.5</v>
      </c>
      <c r="C10" s="109">
        <v>3568.4999999999964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286.6</v>
      </c>
      <c r="U10" s="72">
        <v>1716.6</v>
      </c>
      <c r="V10" s="72">
        <v>7562.5</v>
      </c>
      <c r="W10" s="72">
        <v>969.2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17090.5</v>
      </c>
      <c r="AG10" s="71">
        <f>B10+C10-AF10</f>
        <v>5130.499999999996</v>
      </c>
      <c r="AH10" s="18"/>
    </row>
    <row r="11" spans="1:34" ht="15.7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  <c r="AH11" s="18"/>
    </row>
    <row r="12" spans="1:34" ht="15.7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  <c r="AH12" s="18"/>
    </row>
    <row r="13" spans="1:34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855.2999999999993</v>
      </c>
      <c r="C14" s="109">
        <f t="shared" si="2"/>
        <v>706.0999999999935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9.800000000000011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20.700000000000045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604.9999999999998</v>
      </c>
      <c r="AG14" s="72">
        <f>AG10-AG11-AG12-AG13</f>
        <v>956.3999999999928</v>
      </c>
      <c r="AH14" s="18"/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H15" s="18"/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116"/>
    </row>
    <row r="17" spans="1:34" ht="15.7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21"/>
    </row>
    <row r="18" spans="1:34" ht="15.7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  <c r="AH18" s="18"/>
    </row>
    <row r="19" spans="1:34" ht="15.7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  <c r="AH19" s="18"/>
    </row>
    <row r="20" spans="1:34" ht="15.7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  <c r="AH20" s="18"/>
    </row>
    <row r="21" spans="1:34" ht="15.7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  <c r="AH21" s="18"/>
    </row>
    <row r="22" spans="1:34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  <c r="AH23" s="18"/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6841.799999999996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2437.1+638.6</f>
        <v>3075.7</v>
      </c>
      <c r="P24" s="72">
        <f>161.5+13.6</f>
        <v>175.1</v>
      </c>
      <c r="Q24" s="72">
        <v>0.4</v>
      </c>
      <c r="R24" s="72"/>
      <c r="S24" s="72"/>
      <c r="T24" s="72">
        <f>4839.5+5306.6</f>
        <v>10146.1</v>
      </c>
      <c r="U24" s="72">
        <f>2936.4+6666.4</f>
        <v>9602.8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</v>
      </c>
      <c r="AG24" s="72">
        <f t="shared" si="3"/>
        <v>10082.799999999996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116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21"/>
    </row>
    <row r="27" spans="1:34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H27" s="18"/>
    </row>
    <row r="28" spans="1:34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H28" s="18"/>
    </row>
    <row r="29" spans="1:34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H29" s="18"/>
    </row>
    <row r="30" spans="1:34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H30" s="18"/>
    </row>
    <row r="31" spans="1:34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H31" s="18"/>
    </row>
    <row r="32" spans="1:34" ht="15.75">
      <c r="A32" s="3" t="s">
        <v>23</v>
      </c>
      <c r="B32" s="72">
        <f>B24</f>
        <v>39064</v>
      </c>
      <c r="C32" s="109">
        <f aca="true" t="shared" si="5" ref="C32:AD32">C24-C26-C27-C28-C29-C30-C31</f>
        <v>6841.799999999996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3075.7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9602.8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</v>
      </c>
      <c r="AG32" s="72">
        <f>AG24</f>
        <v>10082.799999999996</v>
      </c>
      <c r="AH32" s="18"/>
    </row>
    <row r="33" spans="1:34" ht="15" customHeight="1">
      <c r="A33" s="4" t="s">
        <v>8</v>
      </c>
      <c r="B33" s="72">
        <v>359.5</v>
      </c>
      <c r="C33" s="109">
        <v>43.39999999999998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85.09999999999997</v>
      </c>
      <c r="AH33" s="18"/>
    </row>
    <row r="34" spans="1:34" ht="15.7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  <c r="AH34" s="18"/>
    </row>
    <row r="35" spans="1:34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H35" s="18"/>
    </row>
    <row r="36" spans="1:34" ht="15.7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  <c r="AH36" s="18"/>
    </row>
    <row r="37" spans="1:34" ht="15.7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H37" s="18"/>
    </row>
    <row r="38" spans="1:34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H38" s="18"/>
    </row>
    <row r="39" spans="1:34" ht="15.7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9.399999999999977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25.60000000000001</v>
      </c>
      <c r="AH39" s="18"/>
    </row>
    <row r="40" spans="1:34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  <c r="AH40" s="18"/>
    </row>
    <row r="41" spans="1:34" ht="15.7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21"/>
    </row>
    <row r="42" spans="1:34" ht="15.7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  <c r="AH42" s="18"/>
    </row>
    <row r="43" spans="1:34" ht="15.7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  <c r="AH43" s="18"/>
    </row>
    <row r="44" spans="1:34" ht="15.7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  <c r="AH44" s="18"/>
    </row>
    <row r="45" spans="1:34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H45" s="18"/>
    </row>
    <row r="46" spans="1:34" ht="15.7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  <c r="AH46" s="18"/>
    </row>
    <row r="47" spans="1:34" ht="17.25" customHeight="1">
      <c r="A47" s="4" t="s">
        <v>43</v>
      </c>
      <c r="B47" s="70">
        <f>1320.8-7.3+0.1</f>
        <v>1313.6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920.8000000000002</v>
      </c>
      <c r="AH47" s="18"/>
    </row>
    <row r="48" spans="1:34" ht="15.7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  <c r="AH48" s="18"/>
    </row>
    <row r="49" spans="1:34" ht="15.7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  <c r="AH49" s="18"/>
    </row>
    <row r="50" spans="1:34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H50" s="18"/>
    </row>
    <row r="51" spans="1:34" ht="15.75">
      <c r="A51" s="48" t="s">
        <v>23</v>
      </c>
      <c r="B51" s="72">
        <f aca="true" t="shared" si="10" ref="B51:AD51">B47-B48-B49</f>
        <v>187.29999999999973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215.1999999999999</v>
      </c>
      <c r="AH51" s="18"/>
    </row>
    <row r="52" spans="1:34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72">
        <f aca="true" t="shared" si="11" ref="AG52:AG59">B52+C52-AF52</f>
        <v>4800</v>
      </c>
      <c r="AH52" s="18"/>
    </row>
    <row r="53" spans="1:34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  <c r="AH53" s="18"/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21"/>
    </row>
    <row r="55" spans="1:34" ht="15.7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21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21"/>
    </row>
    <row r="57" spans="1:34" ht="15.7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  <c r="AH57" s="18"/>
    </row>
    <row r="58" spans="1:34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H58" s="18"/>
    </row>
    <row r="59" spans="1:34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H59" s="18"/>
    </row>
    <row r="60" spans="1:34" ht="15.7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  <c r="AH60" s="18"/>
    </row>
    <row r="61" spans="1:34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>
        <v>181.8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182.3</v>
      </c>
      <c r="AG61" s="72">
        <f aca="true" t="shared" si="14" ref="AG61:AG67">B61+C61-AF61</f>
        <v>479.8</v>
      </c>
      <c r="AH61" s="18"/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72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.7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33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21"/>
    </row>
    <row r="65" spans="1:34" ht="15.7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21"/>
    </row>
    <row r="66" spans="1:34" ht="15.7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  <c r="AH66" s="18"/>
    </row>
    <row r="67" spans="1:34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  <c r="AH67" s="18"/>
    </row>
    <row r="68" spans="1:34" ht="15.7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  <c r="AH68" s="18"/>
    </row>
    <row r="69" spans="1:34" ht="31.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  <c r="AH69" s="18"/>
    </row>
    <row r="70" spans="1:34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H70" s="18"/>
    </row>
    <row r="71" spans="1:50" ht="15.7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0">
        <f t="shared" si="16"/>
        <v>555.1999999999998</v>
      </c>
      <c r="AH71" s="13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  <c r="AH72" s="18"/>
    </row>
    <row r="73" spans="1:34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  <c r="AH73" s="18"/>
    </row>
    <row r="74" spans="1:34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  <c r="AH74" s="18"/>
    </row>
    <row r="75" spans="1:34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  <c r="AH75" s="18"/>
    </row>
    <row r="76" spans="1:35" s="11" customFormat="1" ht="15.75">
      <c r="A76" s="12" t="s">
        <v>48</v>
      </c>
      <c r="B76" s="109">
        <v>586.2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494.0000000000001</v>
      </c>
      <c r="AH76" s="135"/>
      <c r="AI76" s="128"/>
    </row>
    <row r="77" spans="1:34" s="11" customFormat="1" ht="15.7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  <c r="AH77" s="135"/>
    </row>
    <row r="78" spans="1:34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H78" s="135"/>
    </row>
    <row r="79" spans="1:34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H79" s="135"/>
    </row>
    <row r="80" spans="1:34" s="11" customFormat="1" ht="15.7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  <c r="AH80" s="135"/>
    </row>
    <row r="81" spans="1:34" s="11" customFormat="1" ht="15.7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  <c r="AH81" s="135"/>
    </row>
    <row r="82" spans="1:34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H82" s="135"/>
    </row>
    <row r="83" spans="1:34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H83" s="135"/>
    </row>
    <row r="84" spans="1:34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H84" s="135"/>
    </row>
    <row r="85" spans="1:34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H85" s="135"/>
    </row>
    <row r="86" spans="1:34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H86" s="135"/>
    </row>
    <row r="87" spans="1:34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H87" s="135"/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35"/>
    </row>
    <row r="89" spans="1:35" ht="15.7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35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35"/>
    </row>
    <row r="91" spans="1:34" ht="15.7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35"/>
    </row>
    <row r="92" spans="1:34" ht="15.7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136"/>
    </row>
    <row r="93" spans="1:34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  <c r="AH93" s="18"/>
    </row>
    <row r="94" spans="1:34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206815.8</v>
      </c>
      <c r="C94" s="124">
        <f t="shared" si="17"/>
        <v>44593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12003.999999999998</v>
      </c>
      <c r="U94" s="83">
        <f t="shared" si="17"/>
        <v>48886.999999999985</v>
      </c>
      <c r="V94" s="83">
        <f t="shared" si="17"/>
        <v>8105.9</v>
      </c>
      <c r="W94" s="83">
        <f t="shared" si="17"/>
        <v>1305.0000000000002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152109.99999999994</v>
      </c>
      <c r="AG94" s="84">
        <f>AG10+AG15+AG24+AG33+AG47+AG52+AG54+AG61+AG62+AG69+AG71+AG72+AG76+AG81+AG82+AG83+AG88+AG89+AG90+AG91+AG70+AG40+AG92</f>
        <v>99298.79999999999</v>
      </c>
      <c r="AH94" s="107"/>
    </row>
    <row r="95" spans="1:34" ht="15.7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  <c r="AH95" s="18"/>
    </row>
    <row r="96" spans="1:34" ht="15.7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  <c r="AH96" s="18"/>
    </row>
    <row r="97" spans="1:34" ht="15.7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  <c r="AH97" s="18"/>
    </row>
    <row r="98" spans="1:33" ht="15.7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.7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2.75">
      <c r="A100" s="1" t="s">
        <v>35</v>
      </c>
      <c r="B100" s="2">
        <f aca="true" t="shared" si="24" ref="B100:AD100">B94-B95-B96-B97-B98-B99</f>
        <v>111628.6</v>
      </c>
      <c r="C100" s="20">
        <f t="shared" si="24"/>
        <v>17255.699999999993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3284.400000000001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10610.999999999996</v>
      </c>
      <c r="U100" s="85">
        <f t="shared" si="24"/>
        <v>11659.899999999987</v>
      </c>
      <c r="V100" s="85">
        <f t="shared" si="24"/>
        <v>480.89999999999947</v>
      </c>
      <c r="W100" s="85">
        <f t="shared" si="24"/>
        <v>355.60000000000025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53727.899999999936</v>
      </c>
      <c r="AG100" s="85">
        <f>AG94-AG95-AG96-AG97-AG98-AG99</f>
        <v>75156.40000000001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134565.07000000015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174202</v>
      </c>
      <c r="C9" s="105">
        <f aca="true" t="shared" si="0" ref="C9:AD9">C10+C15+C24+C33+C47+C52+C54+C61+C62+C71+C72+C88+C76+C81+C83+C82+C69+C89+C90+C91+C70+C40+C92</f>
        <v>99298.70000000001</v>
      </c>
      <c r="D9" s="68">
        <f t="shared" si="0"/>
        <v>12655.7</v>
      </c>
      <c r="E9" s="68">
        <f t="shared" si="0"/>
        <v>3478</v>
      </c>
      <c r="F9" s="68">
        <f t="shared" si="0"/>
        <v>5152.900000000001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41328.50000000001</v>
      </c>
      <c r="T9" s="68">
        <f t="shared" si="0"/>
        <v>13693.5</v>
      </c>
      <c r="U9" s="68">
        <f t="shared" si="0"/>
        <v>5063.5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169080.4</v>
      </c>
      <c r="AG9" s="69">
        <f>AG10+AG15+AG24+AG33+AG47+AG52+AG54+AG61+AG62+AG71+AG72+AG76+AG88+AG81+AG83+AG82+AG69+AG89+AG91+AG90+AG70+AG40+AG92</f>
        <v>104420.30000000002</v>
      </c>
      <c r="AH9" s="41"/>
      <c r="AI9" s="41"/>
    </row>
    <row r="10" spans="1:33" ht="15.75">
      <c r="A10" s="4" t="s">
        <v>4</v>
      </c>
      <c r="B10" s="72">
        <v>18016.8</v>
      </c>
      <c r="C10" s="109">
        <v>5130.499999999996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6584.299999999996</v>
      </c>
    </row>
    <row r="11" spans="1:33" ht="15.7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.7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686.5999999999979</v>
      </c>
      <c r="C14" s="109">
        <f t="shared" si="2"/>
        <v>956.3999999999928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1103.3999999999905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.7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.7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.7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.7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.7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10082.8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9827.699999999997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37081.2</v>
      </c>
      <c r="C32" s="109">
        <f aca="true" t="shared" si="5" ref="C32:AD32">C24-C26-C27-C28-C29-C30-C31</f>
        <v>10082.8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9827.699999999997</v>
      </c>
    </row>
    <row r="33" spans="1:33" ht="15" customHeight="1">
      <c r="A33" s="4" t="s">
        <v>8</v>
      </c>
      <c r="B33" s="72">
        <v>340</v>
      </c>
      <c r="C33" s="109">
        <v>85.1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107.30000000000007</v>
      </c>
    </row>
    <row r="34" spans="1:33" ht="15.7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29.6</v>
      </c>
      <c r="C39" s="109">
        <f t="shared" si="7"/>
        <v>25.600000000000037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29.000000000000128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.7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.7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.7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1371-9.3</f>
        <v>1361.7</v>
      </c>
      <c r="C47" s="109">
        <v>920.8</v>
      </c>
      <c r="D47" s="67"/>
      <c r="E47" s="79">
        <v>288</v>
      </c>
      <c r="F47" s="79">
        <v>14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1373.1000000000001</v>
      </c>
      <c r="AG47" s="72">
        <f>B47+C47-AF47</f>
        <v>909.3999999999999</v>
      </c>
    </row>
    <row r="48" spans="1:33" ht="15.7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.7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238.79999999999995</v>
      </c>
      <c r="C51" s="109">
        <f t="shared" si="10"/>
        <v>215.1999999999997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118.10000000000005</v>
      </c>
      <c r="AG51" s="72">
        <f>AG47-AG49-AG48</f>
        <v>335.8999999999998</v>
      </c>
    </row>
    <row r="52" spans="1:33" ht="15" customHeight="1">
      <c r="A52" s="4" t="s">
        <v>0</v>
      </c>
      <c r="B52" s="72">
        <f>5441.2-346.5-1000</f>
        <v>4094.7</v>
      </c>
      <c r="C52" s="109">
        <v>4800</v>
      </c>
      <c r="D52" s="67"/>
      <c r="E52" s="67"/>
      <c r="F52" s="67">
        <v>1271.9</v>
      </c>
      <c r="G52" s="67">
        <v>55.2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v>398.5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2943.1000000000004</v>
      </c>
      <c r="AG52" s="72">
        <f aca="true" t="shared" si="11" ref="AG52:AG59">B52+C52-AF52</f>
        <v>5951.6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.7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.7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479.8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560.0999999999999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.7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.7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1.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09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/>
      <c r="T71" s="80">
        <v>657.8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2210.8</v>
      </c>
      <c r="AG71" s="130">
        <f t="shared" si="16"/>
        <v>104.59999999999945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1374.9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2036.2999999999997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.7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.7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2502.4</v>
      </c>
      <c r="AG89" s="72">
        <f t="shared" si="16"/>
        <v>5237.299999999999</v>
      </c>
      <c r="AH89" s="11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.7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174202</v>
      </c>
      <c r="C94" s="124">
        <f t="shared" si="17"/>
        <v>99298.70000000001</v>
      </c>
      <c r="D94" s="83">
        <f t="shared" si="17"/>
        <v>12655.7</v>
      </c>
      <c r="E94" s="83">
        <f t="shared" si="17"/>
        <v>3478</v>
      </c>
      <c r="F94" s="83">
        <f t="shared" si="17"/>
        <v>5152.900000000001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41328.50000000001</v>
      </c>
      <c r="T94" s="83">
        <f t="shared" si="17"/>
        <v>13693.5</v>
      </c>
      <c r="U94" s="83">
        <f t="shared" si="17"/>
        <v>5063.5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169080.4</v>
      </c>
      <c r="AG94" s="84">
        <f>AG10+AG15+AG24+AG33+AG47+AG52+AG54+AG61+AG62+AG69+AG71+AG72+AG76+AG81+AG82+AG83+AG88+AG89+AG90+AG91+AG70+AG40+AG92</f>
        <v>104420.30000000002</v>
      </c>
    </row>
    <row r="95" spans="1:33" ht="15.7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.7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.7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.7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2.75">
      <c r="A100" s="1" t="s">
        <v>35</v>
      </c>
      <c r="B100" s="2">
        <f aca="true" t="shared" si="24" ref="B100:AD100">B94-B95-B96-B97-B98-B99</f>
        <v>84297.70000000001</v>
      </c>
      <c r="C100" s="20">
        <f t="shared" si="24"/>
        <v>75156.3</v>
      </c>
      <c r="D100" s="85">
        <f t="shared" si="24"/>
        <v>12619.7</v>
      </c>
      <c r="E100" s="85">
        <f t="shared" si="24"/>
        <v>3010.4</v>
      </c>
      <c r="F100" s="85">
        <f t="shared" si="24"/>
        <v>4154.600000000001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12816.200000000012</v>
      </c>
      <c r="T100" s="85">
        <f t="shared" si="24"/>
        <v>1269.7999999999995</v>
      </c>
      <c r="U100" s="85">
        <f t="shared" si="24"/>
        <v>2431.2000000000003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79807.40000000001</v>
      </c>
      <c r="AG100" s="85">
        <f>AG94-AG95-AG96-AG97-AG98-AG99</f>
        <v>79646.59999999999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0" sqref="AG1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12222.000000000007</v>
      </c>
      <c r="AF7" s="54"/>
      <c r="AG7" s="40"/>
    </row>
    <row r="8" spans="1:55" ht="18" customHeight="1">
      <c r="A8" s="47" t="s">
        <v>30</v>
      </c>
      <c r="B8" s="33">
        <f>SUM(E8:AB8)</f>
        <v>145802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>
        <v>5508</v>
      </c>
      <c r="T8" s="63">
        <v>5834.2</v>
      </c>
      <c r="U8" s="61">
        <v>3155.8</v>
      </c>
      <c r="V8" s="61">
        <f>5240.7+47.2</f>
        <v>5287.9</v>
      </c>
      <c r="W8" s="61">
        <v>15541.8</v>
      </c>
      <c r="X8" s="62">
        <v>16959.9</v>
      </c>
      <c r="Y8" s="62"/>
      <c r="Z8" s="62"/>
      <c r="AA8" s="62"/>
      <c r="AB8" s="61"/>
      <c r="AC8" s="64"/>
      <c r="AD8" s="64"/>
      <c r="AE8" s="65">
        <f>SUM(D8:AD8)+C8-AF9+AF16+AF25</f>
        <v>157976.07000000015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228148.51</v>
      </c>
      <c r="C9" s="104">
        <f aca="true" t="shared" si="0" ref="C9:AD9">C10+C15+C24+C33+C47+C52+C54+C61+C62+C71+C72+C88+C76+C81+C83+C82+C69+C89+C90+C91+C70+C40+C92</f>
        <v>104315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4330.4</v>
      </c>
      <c r="Q9" s="68">
        <f t="shared" si="0"/>
        <v>4322.1</v>
      </c>
      <c r="R9" s="68">
        <f t="shared" si="0"/>
        <v>5931.6</v>
      </c>
      <c r="S9" s="68">
        <f t="shared" si="0"/>
        <v>1048.5</v>
      </c>
      <c r="T9" s="68">
        <f t="shared" si="0"/>
        <v>3682.6000000000004</v>
      </c>
      <c r="U9" s="68">
        <f t="shared" si="0"/>
        <v>3155.6</v>
      </c>
      <c r="V9" s="68">
        <f t="shared" si="0"/>
        <v>81269.49999999999</v>
      </c>
      <c r="W9" s="68">
        <f t="shared" si="0"/>
        <v>13750.3</v>
      </c>
      <c r="X9" s="68">
        <f t="shared" si="0"/>
        <v>2651.2999999999997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193889.89999999997</v>
      </c>
      <c r="AG9" s="69">
        <f>AG10+AG15+AG24+AG33+AG47+AG52+AG54+AG61+AG62+AG71+AG72+AG76+AG88+AG81+AG83+AG82+AG69+AG89+AG91+AG90+AG70+AG40+AG92</f>
        <v>138573.61000000002</v>
      </c>
      <c r="AH9" s="41"/>
      <c r="AI9" s="41"/>
    </row>
    <row r="10" spans="1:34" ht="15.75">
      <c r="A10" s="4" t="s">
        <v>4</v>
      </c>
      <c r="B10" s="72">
        <f>18071.2+300+578+300+1050.9</f>
        <v>20300.100000000002</v>
      </c>
      <c r="C10" s="72">
        <v>6584.299999999996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>
        <f>55.7+3.9</f>
        <v>59.6</v>
      </c>
      <c r="T10" s="72">
        <v>49.9</v>
      </c>
      <c r="U10" s="72">
        <v>61.5</v>
      </c>
      <c r="V10" s="72">
        <v>11638.8</v>
      </c>
      <c r="W10" s="72">
        <v>3609.8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21977.899999999998</v>
      </c>
      <c r="AG10" s="72">
        <f>B10+C10-AF10</f>
        <v>4906.5</v>
      </c>
      <c r="AH10" s="18"/>
    </row>
    <row r="11" spans="1:34" ht="15.75">
      <c r="A11" s="3" t="s">
        <v>5</v>
      </c>
      <c r="B11" s="72">
        <f>17270.02+300+578+300+1050.9</f>
        <v>19498.920000000002</v>
      </c>
      <c r="C11" s="72">
        <v>5060.2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>
        <v>49.8</v>
      </c>
      <c r="T11" s="72">
        <v>6.1</v>
      </c>
      <c r="U11" s="72"/>
      <c r="V11" s="72">
        <v>11467.1</v>
      </c>
      <c r="W11" s="72">
        <v>3525.9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20990.600000000002</v>
      </c>
      <c r="AG11" s="72">
        <f>B11+C11-AF11</f>
        <v>3568.5200000000004</v>
      </c>
      <c r="AH11" s="18"/>
    </row>
    <row r="12" spans="1:34" ht="15.7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>
        <v>51.9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289</v>
      </c>
      <c r="AG12" s="72">
        <f>B12+C12-AF12</f>
        <v>230.29999999999984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702.3800000000003</v>
      </c>
      <c r="C14" s="72">
        <f t="shared" si="2"/>
        <v>1103.5999999999958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9.800000000000004</v>
      </c>
      <c r="T14" s="67">
        <f t="shared" si="2"/>
        <v>43.8</v>
      </c>
      <c r="U14" s="67">
        <f t="shared" si="2"/>
        <v>9.600000000000001</v>
      </c>
      <c r="V14" s="67">
        <f t="shared" si="2"/>
        <v>171.6999999999989</v>
      </c>
      <c r="W14" s="67">
        <f t="shared" si="2"/>
        <v>83.90000000000009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698.299999999999</v>
      </c>
      <c r="AG14" s="72">
        <f>AG10-AG11-AG12-AG13</f>
        <v>1107.6799999999998</v>
      </c>
      <c r="AH14" s="18"/>
    </row>
    <row r="15" spans="1:35" ht="15" customHeight="1">
      <c r="A15" s="4" t="s">
        <v>6</v>
      </c>
      <c r="B15" s="72">
        <f>86876.4-830.1</f>
        <v>86046.29999999999</v>
      </c>
      <c r="C15" s="72">
        <f>21765.6-0.3</f>
        <v>21765.3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>
        <v>118.8</v>
      </c>
      <c r="T15" s="72">
        <v>49</v>
      </c>
      <c r="U15" s="72">
        <v>1579</v>
      </c>
      <c r="V15" s="72">
        <f>27211.3+23759.4</f>
        <v>50970.7</v>
      </c>
      <c r="W15" s="72">
        <v>217.7</v>
      </c>
      <c r="X15" s="67">
        <v>0.3</v>
      </c>
      <c r="Y15" s="72"/>
      <c r="Z15" s="72"/>
      <c r="AA15" s="72"/>
      <c r="AB15" s="67"/>
      <c r="AC15" s="67"/>
      <c r="AD15" s="67"/>
      <c r="AE15" s="67"/>
      <c r="AF15" s="71">
        <f t="shared" si="1"/>
        <v>82722.79999999999</v>
      </c>
      <c r="AG15" s="72">
        <f aca="true" t="shared" si="3" ref="AG15:AG31">B15+C15-AF15</f>
        <v>25088.800000000003</v>
      </c>
      <c r="AH15" s="18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>
        <v>23759.4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33331.7</v>
      </c>
      <c r="AG16" s="115">
        <f t="shared" si="3"/>
        <v>4108.5999999999985</v>
      </c>
      <c r="AH16" s="116"/>
    </row>
    <row r="17" spans="1:34" ht="15.75">
      <c r="A17" s="3" t="s">
        <v>5</v>
      </c>
      <c r="B17" s="72">
        <f>76467.95-830.1+57.4</f>
        <v>75695.24999999999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>
        <v>0.7</v>
      </c>
      <c r="V17" s="72">
        <f>22472.9+23759.4</f>
        <v>46232.3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68664.1</v>
      </c>
      <c r="AG17" s="72">
        <f t="shared" si="3"/>
        <v>10237.24999999997</v>
      </c>
      <c r="AH17" s="21"/>
    </row>
    <row r="18" spans="1:34" ht="15.7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>
        <v>0.3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7.999999999999999</v>
      </c>
      <c r="AG18" s="72">
        <f t="shared" si="3"/>
        <v>13.2</v>
      </c>
      <c r="AH18" s="18"/>
    </row>
    <row r="19" spans="1:34" ht="15.75">
      <c r="A19" s="3" t="s">
        <v>1</v>
      </c>
      <c r="B19" s="72">
        <f>5310</f>
        <v>5310</v>
      </c>
      <c r="C19" s="72">
        <f>6864.3-9.9</f>
        <v>6854.400000000001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>
        <v>295.5</v>
      </c>
      <c r="V19" s="72">
        <v>3721.6</v>
      </c>
      <c r="W19" s="72">
        <v>217.4</v>
      </c>
      <c r="X19" s="67">
        <v>0.3</v>
      </c>
      <c r="Y19" s="72"/>
      <c r="Z19" s="72"/>
      <c r="AA19" s="72"/>
      <c r="AB19" s="67"/>
      <c r="AC19" s="67"/>
      <c r="AD19" s="67"/>
      <c r="AE19" s="67"/>
      <c r="AF19" s="71">
        <f t="shared" si="1"/>
        <v>5716.599999999999</v>
      </c>
      <c r="AG19" s="72">
        <f t="shared" si="3"/>
        <v>6447.800000000002</v>
      </c>
      <c r="AH19" s="18"/>
    </row>
    <row r="20" spans="1:34" ht="15.75">
      <c r="A20" s="3" t="s">
        <v>2</v>
      </c>
      <c r="B20" s="72">
        <f>1728.8-57.4</f>
        <v>1671.3999999999999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>
        <v>113.5</v>
      </c>
      <c r="T20" s="72">
        <v>15.4</v>
      </c>
      <c r="U20" s="72">
        <v>686.4</v>
      </c>
      <c r="V20" s="72">
        <v>723.1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5600.4</v>
      </c>
      <c r="AG20" s="72">
        <f t="shared" si="3"/>
        <v>1493.1000000000004</v>
      </c>
      <c r="AH20" s="18"/>
    </row>
    <row r="21" spans="1:34" ht="15.7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</v>
      </c>
      <c r="R21" s="67">
        <v>160.9</v>
      </c>
      <c r="S21" s="72"/>
      <c r="T21" s="72"/>
      <c r="U21" s="67">
        <v>282.3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1068.3</v>
      </c>
      <c r="AG21" s="72">
        <f t="shared" si="3"/>
        <v>241.70000000000005</v>
      </c>
      <c r="AH21" s="18"/>
    </row>
    <row r="22" spans="1:33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2149.9500000000035</v>
      </c>
      <c r="C23" s="72">
        <f t="shared" si="4"/>
        <v>6171.199999999998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553.0000000000002</v>
      </c>
      <c r="R23" s="67">
        <f t="shared" si="4"/>
        <v>16.49999999999997</v>
      </c>
      <c r="S23" s="67">
        <f t="shared" si="4"/>
        <v>5.299999999999997</v>
      </c>
      <c r="T23" s="67">
        <f t="shared" si="4"/>
        <v>33.6</v>
      </c>
      <c r="U23" s="67">
        <f t="shared" si="4"/>
        <v>313.8</v>
      </c>
      <c r="V23" s="67">
        <f t="shared" si="4"/>
        <v>293.69999999999425</v>
      </c>
      <c r="W23" s="67">
        <f t="shared" si="4"/>
        <v>0.29999999999998295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1665.3999999999944</v>
      </c>
      <c r="AG23" s="72">
        <f t="shared" si="3"/>
        <v>6655.750000000007</v>
      </c>
    </row>
    <row r="24" spans="1:35" s="18" customFormat="1" ht="15" customHeight="1">
      <c r="A24" s="108" t="s">
        <v>7</v>
      </c>
      <c r="B24" s="72">
        <f>34265.4-1534.5+750.4</f>
        <v>33481.3</v>
      </c>
      <c r="C24" s="72">
        <v>9827.7</v>
      </c>
      <c r="D24" s="72"/>
      <c r="E24" s="72"/>
      <c r="F24" s="72">
        <f>75.3+504.8</f>
        <v>580.1</v>
      </c>
      <c r="G24" s="72">
        <v>29.3</v>
      </c>
      <c r="H24" s="72"/>
      <c r="I24" s="72">
        <v>0.6</v>
      </c>
      <c r="J24" s="72"/>
      <c r="K24" s="72">
        <f>441.9+11816.1</f>
        <v>12258</v>
      </c>
      <c r="L24" s="72">
        <f>2322.7+1.7</f>
        <v>2324.3999999999996</v>
      </c>
      <c r="M24" s="72">
        <f>7.7+19.7</f>
        <v>27.4</v>
      </c>
      <c r="N24" s="72"/>
      <c r="O24" s="72">
        <f>186.3+953.3</f>
        <v>1139.6</v>
      </c>
      <c r="P24" s="72">
        <v>126</v>
      </c>
      <c r="Q24" s="72">
        <f>82.9+25</f>
        <v>107.9</v>
      </c>
      <c r="R24" s="72">
        <v>814</v>
      </c>
      <c r="S24" s="72">
        <v>15.2</v>
      </c>
      <c r="T24" s="72">
        <f>66.4+170.5</f>
        <v>236.9</v>
      </c>
      <c r="U24" s="72"/>
      <c r="V24" s="72">
        <f>7740.6+7930.3</f>
        <v>15670.900000000001</v>
      </c>
      <c r="W24" s="72">
        <v>379</v>
      </c>
      <c r="X24" s="72"/>
      <c r="Y24" s="72"/>
      <c r="Z24" s="72"/>
      <c r="AA24" s="72"/>
      <c r="AB24" s="72"/>
      <c r="AC24" s="72"/>
      <c r="AD24" s="72"/>
      <c r="AE24" s="72"/>
      <c r="AF24" s="72">
        <f>SUM(D24:AD24)</f>
        <v>33709.3</v>
      </c>
      <c r="AG24" s="72">
        <f t="shared" si="3"/>
        <v>9599.699999999997</v>
      </c>
      <c r="AI24" s="112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2082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545.2</v>
      </c>
      <c r="S25" s="76"/>
      <c r="T25" s="76">
        <v>170.5</v>
      </c>
      <c r="U25" s="76"/>
      <c r="V25" s="76">
        <v>7930.2</v>
      </c>
      <c r="W25" s="76">
        <v>379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22501.4</v>
      </c>
      <c r="AG25" s="115">
        <f t="shared" si="3"/>
        <v>2333.7999999999993</v>
      </c>
      <c r="AH25" s="57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v>34265.6</v>
      </c>
      <c r="C32" s="72">
        <f aca="true" t="shared" si="5" ref="C32:AD32">C24-C26-C27-C28-C29-C30-C31</f>
        <v>9827.7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126</v>
      </c>
      <c r="Q32" s="67">
        <f t="shared" si="5"/>
        <v>107.9</v>
      </c>
      <c r="R32" s="67">
        <f t="shared" si="5"/>
        <v>814</v>
      </c>
      <c r="S32" s="67">
        <f t="shared" si="5"/>
        <v>15.2</v>
      </c>
      <c r="T32" s="67">
        <f t="shared" si="5"/>
        <v>236.9</v>
      </c>
      <c r="U32" s="67">
        <f t="shared" si="5"/>
        <v>0</v>
      </c>
      <c r="V32" s="67">
        <f t="shared" si="5"/>
        <v>15670.900000000001</v>
      </c>
      <c r="W32" s="67">
        <f t="shared" si="5"/>
        <v>379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33709.3</v>
      </c>
      <c r="AG32" s="72">
        <f>AG24</f>
        <v>9599.699999999997</v>
      </c>
    </row>
    <row r="33" spans="1:33" ht="15" customHeight="1">
      <c r="A33" s="4" t="s">
        <v>8</v>
      </c>
      <c r="B33" s="72">
        <f>319.5+67.3</f>
        <v>386.8</v>
      </c>
      <c r="C33" s="72">
        <v>107.30000000000007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>
        <v>187.7</v>
      </c>
      <c r="U33" s="72">
        <v>22</v>
      </c>
      <c r="V33" s="72">
        <v>17.7</v>
      </c>
      <c r="W33" s="72">
        <v>67.3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411.7</v>
      </c>
      <c r="AG33" s="72">
        <f aca="true" t="shared" si="6" ref="AG33:AG38">B33+C33-AF33</f>
        <v>82.40000000000009</v>
      </c>
    </row>
    <row r="34" spans="1:33" ht="15.7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>
        <v>178.9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259.6</v>
      </c>
      <c r="AG34" s="72">
        <f t="shared" si="6"/>
        <v>38.499999999999886</v>
      </c>
    </row>
    <row r="35" spans="1:33" ht="15.7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>
        <v>1.8</v>
      </c>
      <c r="U36" s="67">
        <v>22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56.199999999999996</v>
      </c>
      <c r="AG36" s="72">
        <f t="shared" si="6"/>
        <v>17.799999999999976</v>
      </c>
    </row>
    <row r="37" spans="1:33" ht="15.7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93.00000000000003</v>
      </c>
      <c r="C39" s="72">
        <f t="shared" si="7"/>
        <v>29.000000000000128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6.999999999999983</v>
      </c>
      <c r="U39" s="67">
        <f t="shared" si="7"/>
        <v>0</v>
      </c>
      <c r="V39" s="67">
        <f t="shared" si="7"/>
        <v>17.7</v>
      </c>
      <c r="W39" s="67">
        <f t="shared" si="7"/>
        <v>67.3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95.89999999999998</v>
      </c>
      <c r="AG39" s="72">
        <f>AG33-AG34-AG36-AG38-AG35-AG37</f>
        <v>26.10000000000023</v>
      </c>
    </row>
    <row r="40" spans="1:33" ht="15" customHeight="1">
      <c r="A40" s="4" t="s">
        <v>29</v>
      </c>
      <c r="B40" s="72">
        <v>1146.4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>
        <f>178.3+1.6</f>
        <v>179.9</v>
      </c>
      <c r="V40" s="72">
        <v>781.7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1348.1</v>
      </c>
      <c r="AG40" s="72">
        <f aca="true" t="shared" si="8" ref="AG40:AG45">B40+C40-AF40</f>
        <v>120.90000000000009</v>
      </c>
    </row>
    <row r="41" spans="1:34" ht="15.7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781.7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1124.5</v>
      </c>
      <c r="AG41" s="72">
        <f t="shared" si="8"/>
        <v>45.69999999999982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.7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>
        <v>178.3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189.5</v>
      </c>
      <c r="AG44" s="72">
        <f t="shared" si="8"/>
        <v>46.79999999999998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29.900000000000098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1.5999999999999943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26.39999999999998</v>
      </c>
      <c r="AG46" s="72">
        <f>AG40-AG41-AG42-AG43-AG44-AG45</f>
        <v>14.200000000000287</v>
      </c>
    </row>
    <row r="47" spans="1:33" ht="17.25" customHeight="1">
      <c r="A47" s="4" t="s">
        <v>43</v>
      </c>
      <c r="B47" s="70">
        <f>1223.89+431.1</f>
        <v>1654.9900000000002</v>
      </c>
      <c r="C47" s="72">
        <v>909.4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>
        <v>44.5</v>
      </c>
      <c r="T47" s="80">
        <v>11.7</v>
      </c>
      <c r="U47" s="79"/>
      <c r="V47" s="79">
        <v>17.7</v>
      </c>
      <c r="W47" s="79">
        <v>4.5</v>
      </c>
      <c r="X47" s="79">
        <v>12.7</v>
      </c>
      <c r="Y47" s="80"/>
      <c r="Z47" s="80"/>
      <c r="AA47" s="80"/>
      <c r="AB47" s="79"/>
      <c r="AC47" s="79"/>
      <c r="AD47" s="79"/>
      <c r="AE47" s="79"/>
      <c r="AF47" s="71">
        <f t="shared" si="1"/>
        <v>1093.4000000000003</v>
      </c>
      <c r="AG47" s="72">
        <f>B47+C47-AF47</f>
        <v>1470.99</v>
      </c>
    </row>
    <row r="48" spans="1:33" ht="15.7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>
        <v>4.8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36</v>
      </c>
      <c r="AG48" s="72">
        <f>B48+C48-AF48</f>
        <v>73.19999999999999</v>
      </c>
    </row>
    <row r="49" spans="1:33" ht="15.75">
      <c r="A49" s="3" t="s">
        <v>16</v>
      </c>
      <c r="B49" s="72">
        <f>990.37+406</f>
        <v>1396.37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>
        <v>35</v>
      </c>
      <c r="T49" s="72">
        <v>1.8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879</v>
      </c>
      <c r="AG49" s="72">
        <f>B49+C49-AF49</f>
        <v>1018.0699999999999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222.22000000000025</v>
      </c>
      <c r="C51" s="72">
        <f t="shared" si="10"/>
        <v>335.9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9.5</v>
      </c>
      <c r="T51" s="67">
        <f t="shared" si="10"/>
        <v>9.899999999999999</v>
      </c>
      <c r="U51" s="67">
        <f t="shared" si="10"/>
        <v>0</v>
      </c>
      <c r="V51" s="67">
        <f t="shared" si="10"/>
        <v>12.899999999999999</v>
      </c>
      <c r="W51" s="67">
        <f t="shared" si="10"/>
        <v>4.5</v>
      </c>
      <c r="X51" s="67">
        <f t="shared" si="10"/>
        <v>12.7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178.39999999999998</v>
      </c>
      <c r="AG51" s="72">
        <f>AG47-AG49-AG48</f>
        <v>379.7200000000001</v>
      </c>
    </row>
    <row r="52" spans="1:33" ht="15" customHeight="1">
      <c r="A52" s="4" t="s">
        <v>0</v>
      </c>
      <c r="B52" s="72">
        <f>4093.81-477.7-64.6</f>
        <v>3551.51</v>
      </c>
      <c r="C52" s="72">
        <v>5951.6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>
        <v>117.8</v>
      </c>
      <c r="T52" s="72">
        <v>450.7</v>
      </c>
      <c r="U52" s="72">
        <v>129.7</v>
      </c>
      <c r="V52" s="72">
        <v>118.4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4994.999999999999</v>
      </c>
      <c r="AG52" s="72">
        <f aca="true" t="shared" si="11" ref="AG52:AG59">B52+C52-AF52</f>
        <v>4508.1100000000015</v>
      </c>
    </row>
    <row r="53" spans="1:33" ht="15" customHeight="1">
      <c r="A53" s="3" t="s">
        <v>2</v>
      </c>
      <c r="B53" s="72">
        <v>911.5</v>
      </c>
      <c r="C53" s="72">
        <f>1205.7-1.9</f>
        <v>1203.8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90.3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1300.1000000000001</v>
      </c>
      <c r="AG53" s="72">
        <f t="shared" si="11"/>
        <v>815.2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>
        <v>54.3</v>
      </c>
      <c r="T54" s="72">
        <v>18</v>
      </c>
      <c r="U54" s="72">
        <v>6.8</v>
      </c>
      <c r="V54" s="72">
        <v>727.8</v>
      </c>
      <c r="W54" s="72"/>
      <c r="X54" s="67">
        <v>89.8</v>
      </c>
      <c r="Y54" s="72"/>
      <c r="Z54" s="72"/>
      <c r="AA54" s="72"/>
      <c r="AB54" s="67"/>
      <c r="AC54" s="67"/>
      <c r="AD54" s="67"/>
      <c r="AE54" s="67"/>
      <c r="AF54" s="71">
        <f t="shared" si="1"/>
        <v>2449.6</v>
      </c>
      <c r="AG54" s="72">
        <f t="shared" si="11"/>
        <v>1321.5500000000006</v>
      </c>
      <c r="AH54" s="6"/>
    </row>
    <row r="55" spans="1:34" ht="15.75">
      <c r="A55" s="3" t="s">
        <v>5</v>
      </c>
      <c r="B55" s="72">
        <v>1127.4</v>
      </c>
      <c r="C55" s="72">
        <f>280.3</f>
        <v>280.3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664.3</v>
      </c>
      <c r="W55" s="72"/>
      <c r="X55" s="67">
        <v>89.8</v>
      </c>
      <c r="Y55" s="72"/>
      <c r="Z55" s="72"/>
      <c r="AA55" s="72"/>
      <c r="AB55" s="67"/>
      <c r="AC55" s="67"/>
      <c r="AD55" s="67"/>
      <c r="AE55" s="67"/>
      <c r="AF55" s="71">
        <f t="shared" si="1"/>
        <v>1211.7</v>
      </c>
      <c r="AG55" s="72">
        <f t="shared" si="11"/>
        <v>196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11.5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>
        <v>32.5</v>
      </c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44.1</v>
      </c>
      <c r="AG56" s="72">
        <f t="shared" si="11"/>
        <v>0</v>
      </c>
      <c r="AH56" s="6"/>
    </row>
    <row r="57" spans="1:33" ht="15.75">
      <c r="A57" s="3" t="s">
        <v>2</v>
      </c>
      <c r="B57" s="70">
        <f>44.1-15</f>
        <v>29.1</v>
      </c>
      <c r="C57" s="72">
        <v>422.7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>
        <v>0.8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389.09999999999997</v>
      </c>
      <c r="AG57" s="72">
        <f t="shared" si="11"/>
        <v>62.700000000000045</v>
      </c>
    </row>
    <row r="58" spans="1:33" ht="15.7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>
        <v>8.7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13.799999999999999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709.8499999999999</v>
      </c>
      <c r="C60" s="72">
        <f t="shared" si="12"/>
        <v>1143.9000000000005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21.799999999999997</v>
      </c>
      <c r="T60" s="67">
        <f t="shared" si="12"/>
        <v>17.2</v>
      </c>
      <c r="U60" s="67">
        <f t="shared" si="12"/>
        <v>6.8</v>
      </c>
      <c r="V60" s="67">
        <f t="shared" si="12"/>
        <v>54.8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790.9</v>
      </c>
      <c r="AG60" s="72">
        <f>AG54-AG55-AG57-AG59-AG56-AG58</f>
        <v>1062.8500000000006</v>
      </c>
    </row>
    <row r="61" spans="1:33" ht="15" customHeight="1">
      <c r="A61" s="4" t="s">
        <v>10</v>
      </c>
      <c r="B61" s="72">
        <v>116.2</v>
      </c>
      <c r="C61" s="72">
        <v>560.0999999999999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>
        <v>27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111.4</v>
      </c>
      <c r="AG61" s="72">
        <f aca="true" t="shared" si="14" ref="AG61:AG67">B61+C61-AF61</f>
        <v>564.9</v>
      </c>
    </row>
    <row r="62" spans="1:33" s="18" customFormat="1" ht="15" customHeight="1">
      <c r="A62" s="108" t="s">
        <v>11</v>
      </c>
      <c r="B62" s="72">
        <f>3502-67.3</f>
        <v>3434.7</v>
      </c>
      <c r="C62" s="72">
        <f>934.8+0.2</f>
        <v>935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>
        <v>99.6</v>
      </c>
      <c r="T62" s="72">
        <v>73.3</v>
      </c>
      <c r="U62" s="72">
        <v>122.1</v>
      </c>
      <c r="V62" s="72">
        <v>1165.1</v>
      </c>
      <c r="W62" s="72">
        <v>12.1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2909.7999999999997</v>
      </c>
      <c r="AG62" s="72">
        <f t="shared" si="14"/>
        <v>1459.9</v>
      </c>
    </row>
    <row r="63" spans="1:34" ht="15.7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947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1597.1</v>
      </c>
      <c r="AG63" s="72">
        <f t="shared" si="14"/>
        <v>651.0999999999999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122.4</v>
      </c>
      <c r="C65" s="72">
        <f>25.9+0.3</f>
        <v>26.2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>
        <v>2.9</v>
      </c>
      <c r="T65" s="72">
        <v>21</v>
      </c>
      <c r="U65" s="72"/>
      <c r="V65" s="72">
        <v>4.3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87.99999999999999</v>
      </c>
      <c r="AG65" s="72">
        <f t="shared" si="14"/>
        <v>60.60000000000001</v>
      </c>
      <c r="AH65" s="6"/>
    </row>
    <row r="66" spans="1:33" ht="15.7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>
        <v>2.4</v>
      </c>
      <c r="T66" s="72">
        <v>24</v>
      </c>
      <c r="U66" s="72">
        <v>0.1</v>
      </c>
      <c r="V66" s="72">
        <v>16.2</v>
      </c>
      <c r="W66" s="72">
        <v>0.5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63.099999999999994</v>
      </c>
      <c r="AG66" s="72">
        <f t="shared" si="14"/>
        <v>96.1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1147.8999999999996</v>
      </c>
      <c r="C68" s="72">
        <f t="shared" si="15"/>
        <v>555.8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94.29999999999998</v>
      </c>
      <c r="T68" s="67">
        <f t="shared" si="15"/>
        <v>28.299999999999997</v>
      </c>
      <c r="U68" s="67">
        <f t="shared" si="15"/>
        <v>122</v>
      </c>
      <c r="V68" s="67">
        <f t="shared" si="15"/>
        <v>197.5999999999999</v>
      </c>
      <c r="W68" s="67">
        <f t="shared" si="15"/>
        <v>11.6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1051.5999999999997</v>
      </c>
      <c r="AG68" s="72">
        <f>AG62-AG63-AG66-AG67-AG65-AG64</f>
        <v>652.1000000000001</v>
      </c>
    </row>
    <row r="69" spans="1:33" ht="31.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>
        <v>94.4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4900.2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104.6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>
        <v>821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821</v>
      </c>
      <c r="AG71" s="130">
        <f t="shared" si="16"/>
        <v>183.60000000000002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1021.8-29.7-20-14</f>
        <v>958.0999999999999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>
        <v>6</v>
      </c>
      <c r="T72" s="72">
        <v>50.2</v>
      </c>
      <c r="U72" s="72">
        <v>214.1</v>
      </c>
      <c r="V72" s="72">
        <v>76.4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712</v>
      </c>
      <c r="AG72" s="130">
        <f t="shared" si="16"/>
        <v>2282.2999999999997</v>
      </c>
      <c r="AH72" s="86"/>
    </row>
    <row r="73" spans="1:33" ht="15" customHeight="1">
      <c r="A73" s="3" t="s">
        <v>5</v>
      </c>
      <c r="B73" s="72">
        <v>45.4</v>
      </c>
      <c r="C73" s="72">
        <v>0.100000000000009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.7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>
        <v>10.5</v>
      </c>
      <c r="V76" s="79">
        <v>76.8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144.8</v>
      </c>
      <c r="AG76" s="130">
        <f t="shared" si="16"/>
        <v>496.5600000000001</v>
      </c>
      <c r="AI76" s="128"/>
    </row>
    <row r="77" spans="1:33" s="11" customFormat="1" ht="15.7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>
        <v>76.8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116.69999999999999</v>
      </c>
      <c r="AG77" s="130">
        <f t="shared" si="16"/>
        <v>3.4999999999999716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0.6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1.2999999999999998</v>
      </c>
      <c r="AG80" s="130">
        <f t="shared" si="16"/>
        <v>11.100000000000001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7.5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>
        <v>7.5</v>
      </c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7.5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>
        <v>518.2</v>
      </c>
      <c r="T89" s="72">
        <v>928.5</v>
      </c>
      <c r="U89" s="67">
        <v>377.6</v>
      </c>
      <c r="V89" s="67"/>
      <c r="W89" s="67"/>
      <c r="X89" s="72">
        <v>1251.3</v>
      </c>
      <c r="Y89" s="72"/>
      <c r="Z89" s="72"/>
      <c r="AA89" s="72"/>
      <c r="AB89" s="67"/>
      <c r="AC89" s="67"/>
      <c r="AD89" s="67"/>
      <c r="AE89" s="67"/>
      <c r="AF89" s="71">
        <f t="shared" si="13"/>
        <v>6024.8</v>
      </c>
      <c r="AG89" s="72">
        <f t="shared" si="16"/>
        <v>3379.5999999999995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1173.1</v>
      </c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28323.8+6119.2+1176.4+25887.1</f>
        <v>61506.5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>
        <v>14.5</v>
      </c>
      <c r="T92" s="72">
        <v>805.7</v>
      </c>
      <c r="U92" s="67">
        <v>358</v>
      </c>
      <c r="V92" s="67"/>
      <c r="W92" s="67">
        <v>9432.9</v>
      </c>
      <c r="X92" s="72">
        <v>124.1</v>
      </c>
      <c r="Y92" s="72"/>
      <c r="Z92" s="72"/>
      <c r="AA92" s="72"/>
      <c r="AB92" s="67"/>
      <c r="AC92" s="67"/>
      <c r="AD92" s="67"/>
      <c r="AE92" s="67"/>
      <c r="AF92" s="71">
        <f t="shared" si="13"/>
        <v>26031.299999999996</v>
      </c>
      <c r="AG92" s="72">
        <f t="shared" si="16"/>
        <v>82958.70000000001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228148.51</v>
      </c>
      <c r="C94" s="132">
        <f t="shared" si="17"/>
        <v>104315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4330.4</v>
      </c>
      <c r="Q94" s="83">
        <f t="shared" si="17"/>
        <v>4322.1</v>
      </c>
      <c r="R94" s="83">
        <f t="shared" si="17"/>
        <v>5931.6</v>
      </c>
      <c r="S94" s="83">
        <f t="shared" si="17"/>
        <v>1048.5</v>
      </c>
      <c r="T94" s="83">
        <f t="shared" si="17"/>
        <v>3682.6000000000004</v>
      </c>
      <c r="U94" s="83">
        <f t="shared" si="17"/>
        <v>3155.6</v>
      </c>
      <c r="V94" s="83">
        <f t="shared" si="17"/>
        <v>81269.49999999999</v>
      </c>
      <c r="W94" s="83">
        <f t="shared" si="17"/>
        <v>13750.3</v>
      </c>
      <c r="X94" s="83">
        <f t="shared" si="17"/>
        <v>2651.2999999999997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193889.89999999997</v>
      </c>
      <c r="AG94" s="84">
        <f>AG10+AG15+AG24+AG33+AG47+AG52+AG54+AG61+AG62+AG69+AG71+AG72+AG76+AG81+AG82+AG83+AG88+AG89+AG90+AG91+AG70+AG40+AG92</f>
        <v>138573.61000000002</v>
      </c>
    </row>
    <row r="95" spans="1:33" ht="15.75">
      <c r="A95" s="3" t="s">
        <v>5</v>
      </c>
      <c r="B95" s="22">
        <f>B11+B17+B26+B34+B55+B63+B73+B41+B77+B48</f>
        <v>99797.06999999996</v>
      </c>
      <c r="C95" s="109">
        <f aca="true" t="shared" si="18" ref="C95:AD95">C11+C17+C26+C34+C55+C63+C73+C41+C77+C48</f>
        <v>9062.499999999998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49.8</v>
      </c>
      <c r="T95" s="67">
        <f t="shared" si="18"/>
        <v>185</v>
      </c>
      <c r="U95" s="67">
        <f t="shared" si="18"/>
        <v>0.7</v>
      </c>
      <c r="V95" s="67">
        <f t="shared" si="18"/>
        <v>60219.40000000001</v>
      </c>
      <c r="W95" s="67">
        <f t="shared" si="18"/>
        <v>3525.9</v>
      </c>
      <c r="X95" s="67">
        <f t="shared" si="18"/>
        <v>89.8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94045.70000000001</v>
      </c>
      <c r="AG95" s="71">
        <f>B95+C95-AF95</f>
        <v>14813.869999999952</v>
      </c>
    </row>
    <row r="96" spans="1:33" ht="15.75">
      <c r="A96" s="3" t="s">
        <v>2</v>
      </c>
      <c r="B96" s="22">
        <f aca="true" t="shared" si="19" ref="B96:AD96">B12+B20+B29+B36+B57+B66+B44+B80+B74+B53</f>
        <v>3006.5</v>
      </c>
      <c r="C96" s="109">
        <f t="shared" si="19"/>
        <v>8154.2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115.9</v>
      </c>
      <c r="T96" s="67">
        <f t="shared" si="19"/>
        <v>42</v>
      </c>
      <c r="U96" s="67">
        <f t="shared" si="19"/>
        <v>1029.6000000000001</v>
      </c>
      <c r="V96" s="67">
        <f t="shared" si="19"/>
        <v>739.3000000000001</v>
      </c>
      <c r="W96" s="67">
        <f t="shared" si="19"/>
        <v>0.5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8029.3</v>
      </c>
      <c r="AG96" s="71">
        <f>B96+C96-AF96</f>
        <v>3131.4000000000005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0.3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7.999999999999999</v>
      </c>
      <c r="AG97" s="71">
        <f>B97+C97-AF97</f>
        <v>14</v>
      </c>
    </row>
    <row r="98" spans="1:33" ht="15.75">
      <c r="A98" s="3" t="s">
        <v>1</v>
      </c>
      <c r="B98" s="22">
        <f aca="true" t="shared" si="21" ref="B98:AD98">B19+B28+B65+B35+B43+B56+B79</f>
        <v>5474.6</v>
      </c>
      <c r="C98" s="109">
        <f t="shared" si="21"/>
        <v>6903.6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35.4</v>
      </c>
      <c r="T98" s="67">
        <f t="shared" si="21"/>
        <v>21</v>
      </c>
      <c r="U98" s="67">
        <f t="shared" si="21"/>
        <v>295.5</v>
      </c>
      <c r="V98" s="67">
        <f t="shared" si="21"/>
        <v>3725.9</v>
      </c>
      <c r="W98" s="67">
        <f t="shared" si="21"/>
        <v>217.4</v>
      </c>
      <c r="X98" s="67">
        <f t="shared" si="21"/>
        <v>0.3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5856.400000000001</v>
      </c>
      <c r="AG98" s="71">
        <f>B98+C98-AF98</f>
        <v>6521.8</v>
      </c>
    </row>
    <row r="99" spans="1:33" ht="15.75">
      <c r="A99" s="3" t="s">
        <v>16</v>
      </c>
      <c r="B99" s="22">
        <f aca="true" t="shared" si="22" ref="B99:X99">B21+B30+B49+B37+B58+B13+B75+B67</f>
        <v>2741.47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62.8</v>
      </c>
      <c r="R99" s="67">
        <f t="shared" si="22"/>
        <v>490.9</v>
      </c>
      <c r="S99" s="67">
        <f t="shared" si="22"/>
        <v>35</v>
      </c>
      <c r="T99" s="67">
        <f t="shared" si="22"/>
        <v>1.8</v>
      </c>
      <c r="U99" s="67">
        <f t="shared" si="22"/>
        <v>282.3</v>
      </c>
      <c r="V99" s="67">
        <f t="shared" si="22"/>
        <v>8.7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2071.0999999999995</v>
      </c>
      <c r="AG99" s="71">
        <f>B99+C99-AF99</f>
        <v>1290.5700000000006</v>
      </c>
    </row>
    <row r="100" spans="1:33" ht="12.75">
      <c r="A100" s="1" t="s">
        <v>35</v>
      </c>
      <c r="B100" s="2">
        <f aca="true" t="shared" si="24" ref="B100:AD100">B94-B95-B96-B97-B98-B99</f>
        <v>117128.87000000004</v>
      </c>
      <c r="C100" s="20">
        <f t="shared" si="24"/>
        <v>79552.5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3766.4999999999995</v>
      </c>
      <c r="Q100" s="85">
        <f t="shared" si="24"/>
        <v>2253.9000000000005</v>
      </c>
      <c r="R100" s="85">
        <f t="shared" si="24"/>
        <v>4866.700000000001</v>
      </c>
      <c r="S100" s="85">
        <f t="shared" si="24"/>
        <v>812.4000000000001</v>
      </c>
      <c r="T100" s="85">
        <f t="shared" si="24"/>
        <v>3432.8</v>
      </c>
      <c r="U100" s="85">
        <f t="shared" si="24"/>
        <v>1547.2</v>
      </c>
      <c r="V100" s="85">
        <f t="shared" si="24"/>
        <v>16576.199999999975</v>
      </c>
      <c r="W100" s="85">
        <f t="shared" si="24"/>
        <v>10006.5</v>
      </c>
      <c r="X100" s="85">
        <f t="shared" si="24"/>
        <v>2561.1999999999994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83879.39999999995</v>
      </c>
      <c r="AG100" s="85">
        <f>AG94-AG95-AG96-AG97-AG98-AG99</f>
        <v>112801.97000000006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1" sqref="AG1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65</v>
      </c>
      <c r="C4" s="90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19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70076.75</v>
      </c>
      <c r="C7" s="129">
        <v>12221.800000000007</v>
      </c>
      <c r="D7" s="38"/>
      <c r="E7" s="38">
        <v>35038.4</v>
      </c>
      <c r="F7" s="38"/>
      <c r="G7" s="38"/>
      <c r="H7" s="56"/>
      <c r="I7" s="38"/>
      <c r="J7" s="39"/>
      <c r="K7" s="38">
        <v>35038.35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9399.550000000014</v>
      </c>
      <c r="AF7" s="54"/>
      <c r="AG7" s="40"/>
    </row>
    <row r="8" spans="1:55" ht="18" customHeight="1">
      <c r="A8" s="47" t="s">
        <v>30</v>
      </c>
      <c r="B8" s="33">
        <f>SUM(E8:AB8)</f>
        <v>111622.90000000001</v>
      </c>
      <c r="C8" s="103">
        <f>157976.37+277.8</f>
        <v>158254.16999999998</v>
      </c>
      <c r="D8" s="59">
        <v>12815.7</v>
      </c>
      <c r="E8" s="60">
        <v>3929.8</v>
      </c>
      <c r="F8" s="137">
        <v>3302.3</v>
      </c>
      <c r="G8" s="137">
        <v>4842.4</v>
      </c>
      <c r="H8" s="137">
        <v>6256.3</v>
      </c>
      <c r="I8" s="137">
        <v>13986</v>
      </c>
      <c r="J8" s="138">
        <v>2877.6</v>
      </c>
      <c r="K8" s="138">
        <v>1864.4</v>
      </c>
      <c r="L8" s="138">
        <v>1964.4</v>
      </c>
      <c r="M8" s="137">
        <v>1986.4</v>
      </c>
      <c r="N8" s="137">
        <v>8596.5</v>
      </c>
      <c r="O8" s="137">
        <v>10134.4</v>
      </c>
      <c r="P8" s="137">
        <v>3382.8</v>
      </c>
      <c r="Q8" s="137">
        <v>5041.6</v>
      </c>
      <c r="R8" s="137">
        <v>5968.4</v>
      </c>
      <c r="S8" s="63">
        <v>3994</v>
      </c>
      <c r="T8" s="63">
        <v>9560.2</v>
      </c>
      <c r="U8" s="61">
        <v>1781.6</v>
      </c>
      <c r="V8" s="61">
        <v>6419.1</v>
      </c>
      <c r="W8" s="61">
        <v>15734.7</v>
      </c>
      <c r="X8" s="62"/>
      <c r="Y8" s="62"/>
      <c r="Z8" s="62"/>
      <c r="AA8" s="62"/>
      <c r="AB8" s="61"/>
      <c r="AC8" s="64"/>
      <c r="AD8" s="64"/>
      <c r="AE8" s="65">
        <f>SUM(D8:AD8)+C8-AF9+AF16+AF25</f>
        <v>101164.67000000007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220161.69</v>
      </c>
      <c r="C9" s="104">
        <f aca="true" t="shared" si="0" ref="C9:AD9">C10+C15+C24+C33+C47+C52+C54+C61+C62+C71+C72+C88+C76+C81+C83+C82+C69+C89+C90+C91+C70+C40+C92</f>
        <v>138305.31</v>
      </c>
      <c r="D9" s="68">
        <f t="shared" si="0"/>
        <v>4329</v>
      </c>
      <c r="E9" s="68">
        <f t="shared" si="0"/>
        <v>3929.8</v>
      </c>
      <c r="F9" s="68">
        <f t="shared" si="0"/>
        <v>8537.099999999999</v>
      </c>
      <c r="G9" s="68">
        <f t="shared" si="0"/>
        <v>3509.3</v>
      </c>
      <c r="H9" s="68">
        <f t="shared" si="0"/>
        <v>3306</v>
      </c>
      <c r="I9" s="68">
        <f t="shared" si="0"/>
        <v>7949.899999999999</v>
      </c>
      <c r="J9" s="104">
        <f t="shared" si="0"/>
        <v>1063.1</v>
      </c>
      <c r="K9" s="68">
        <f t="shared" si="0"/>
        <v>50999.70000000001</v>
      </c>
      <c r="L9" s="104">
        <f>L10+L15+L24+L33+L47+L52+L54+L61+L62+L71+L72+L88+L76+L81+L83+L82+L69+L89+L90+L91+L70+L40+L92</f>
        <v>33069.1</v>
      </c>
      <c r="M9" s="68">
        <f t="shared" si="0"/>
        <v>6382.299999999999</v>
      </c>
      <c r="N9" s="68">
        <f t="shared" si="0"/>
        <v>4259.8</v>
      </c>
      <c r="O9" s="68">
        <f t="shared" si="0"/>
        <v>4464.099999999999</v>
      </c>
      <c r="P9" s="68">
        <f t="shared" si="0"/>
        <v>4799.5</v>
      </c>
      <c r="Q9" s="68">
        <f t="shared" si="0"/>
        <v>13241.599999999999</v>
      </c>
      <c r="R9" s="68">
        <f t="shared" si="0"/>
        <v>5025.700000000001</v>
      </c>
      <c r="S9" s="68">
        <f t="shared" si="0"/>
        <v>5164.5</v>
      </c>
      <c r="T9" s="68">
        <f t="shared" si="0"/>
        <v>14072.5</v>
      </c>
      <c r="U9" s="68">
        <f t="shared" si="0"/>
        <v>74054.29999999999</v>
      </c>
      <c r="V9" s="68">
        <f t="shared" si="0"/>
        <v>4994.299999999999</v>
      </c>
      <c r="W9" s="68">
        <f t="shared" si="0"/>
        <v>1275.4999999999998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254427.09999999995</v>
      </c>
      <c r="AG9" s="69">
        <f>AG10+AG15+AG24+AG33+AG47+AG52+AG54+AG61+AG62+AG71+AG72+AG76+AG88+AG81+AG83+AG82+AG69+AG89+AG91+AG90+AG70+AG40+AG92</f>
        <v>104039.9</v>
      </c>
      <c r="AH9" s="41"/>
      <c r="AI9" s="41"/>
    </row>
    <row r="10" spans="1:34" ht="15.75">
      <c r="A10" s="4" t="s">
        <v>4</v>
      </c>
      <c r="B10" s="72">
        <f>20114.7+50+40</f>
        <v>20204.7</v>
      </c>
      <c r="C10" s="72">
        <f>4909.5-21.9+1.8</f>
        <v>4889.400000000001</v>
      </c>
      <c r="D10" s="67">
        <v>153</v>
      </c>
      <c r="E10" s="67">
        <v>196.5</v>
      </c>
      <c r="F10" s="67">
        <v>207.7</v>
      </c>
      <c r="G10" s="67">
        <v>83.5</v>
      </c>
      <c r="H10" s="67">
        <v>422.8</v>
      </c>
      <c r="I10" s="67">
        <v>45.8</v>
      </c>
      <c r="J10" s="70">
        <v>67.5</v>
      </c>
      <c r="K10" s="67">
        <v>24.3</v>
      </c>
      <c r="L10" s="72">
        <v>5644.4</v>
      </c>
      <c r="M10" s="67">
        <v>1466.6</v>
      </c>
      <c r="N10" s="67">
        <v>1.9</v>
      </c>
      <c r="O10" s="71">
        <v>23.8</v>
      </c>
      <c r="P10" s="67">
        <f>75.8+29.5</f>
        <v>105.3</v>
      </c>
      <c r="Q10" s="67">
        <v>145.5</v>
      </c>
      <c r="R10" s="67">
        <v>35.5</v>
      </c>
      <c r="S10" s="72">
        <v>168.2</v>
      </c>
      <c r="T10" s="72">
        <v>0.5</v>
      </c>
      <c r="U10" s="72">
        <v>8904.5</v>
      </c>
      <c r="V10" s="72">
        <v>2446.7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20144</v>
      </c>
      <c r="AG10" s="72">
        <f>B10+C10-AF10</f>
        <v>4950.100000000002</v>
      </c>
      <c r="AH10" s="18"/>
    </row>
    <row r="11" spans="1:34" ht="15.75">
      <c r="A11" s="3" t="s">
        <v>5</v>
      </c>
      <c r="B11" s="72">
        <f>17567.8+45.2+122+9.3</f>
        <v>17744.3</v>
      </c>
      <c r="C11" s="72">
        <f>3568.72-0.3</f>
        <v>3568.4199999999996</v>
      </c>
      <c r="D11" s="67">
        <v>153</v>
      </c>
      <c r="E11" s="67"/>
      <c r="F11" s="67">
        <v>183</v>
      </c>
      <c r="G11" s="67">
        <v>52.5</v>
      </c>
      <c r="H11" s="67">
        <v>379.4</v>
      </c>
      <c r="I11" s="67"/>
      <c r="J11" s="72"/>
      <c r="K11" s="67"/>
      <c r="L11" s="72">
        <v>5626.9</v>
      </c>
      <c r="M11" s="67">
        <v>1226.3</v>
      </c>
      <c r="N11" s="67"/>
      <c r="O11" s="71"/>
      <c r="P11" s="67">
        <v>75.8</v>
      </c>
      <c r="Q11" s="67">
        <v>42.1</v>
      </c>
      <c r="R11" s="67"/>
      <c r="S11" s="72">
        <v>13.7</v>
      </c>
      <c r="T11" s="72"/>
      <c r="U11" s="72">
        <v>8887.9</v>
      </c>
      <c r="V11" s="72">
        <v>2393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19033.6</v>
      </c>
      <c r="AG11" s="72">
        <f>B11+C11-AF11</f>
        <v>2279.119999999999</v>
      </c>
      <c r="AH11" s="18"/>
    </row>
    <row r="12" spans="1:34" ht="15.75">
      <c r="A12" s="3" t="s">
        <v>2</v>
      </c>
      <c r="B12" s="70">
        <v>98.2</v>
      </c>
      <c r="C12" s="72">
        <v>230.2</v>
      </c>
      <c r="D12" s="67"/>
      <c r="E12" s="67">
        <v>21</v>
      </c>
      <c r="F12" s="67"/>
      <c r="G12" s="67"/>
      <c r="H12" s="67"/>
      <c r="I12" s="67"/>
      <c r="J12" s="72"/>
      <c r="K12" s="67"/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/>
      <c r="V12" s="72">
        <v>36.8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58.699999999999996</v>
      </c>
      <c r="AG12" s="72">
        <f>B12+C12-AF12</f>
        <v>269.7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2362.2000000000016</v>
      </c>
      <c r="C14" s="72">
        <f t="shared" si="2"/>
        <v>1090.7800000000009</v>
      </c>
      <c r="D14" s="67">
        <f t="shared" si="2"/>
        <v>0</v>
      </c>
      <c r="E14" s="67">
        <f t="shared" si="2"/>
        <v>175.5</v>
      </c>
      <c r="F14" s="67">
        <f t="shared" si="2"/>
        <v>24.69999999999999</v>
      </c>
      <c r="G14" s="67">
        <f t="shared" si="2"/>
        <v>31</v>
      </c>
      <c r="H14" s="67">
        <f t="shared" si="2"/>
        <v>43.400000000000034</v>
      </c>
      <c r="I14" s="67">
        <f t="shared" si="2"/>
        <v>45.8</v>
      </c>
      <c r="J14" s="72">
        <f t="shared" si="2"/>
        <v>67.5</v>
      </c>
      <c r="K14" s="67">
        <f t="shared" si="2"/>
        <v>24.3</v>
      </c>
      <c r="L14" s="72">
        <f t="shared" si="2"/>
        <v>17.5</v>
      </c>
      <c r="M14" s="67">
        <f t="shared" si="2"/>
        <v>239.39999999999995</v>
      </c>
      <c r="N14" s="67">
        <f t="shared" si="2"/>
        <v>1.9</v>
      </c>
      <c r="O14" s="67">
        <f t="shared" si="2"/>
        <v>23.8</v>
      </c>
      <c r="P14" s="67">
        <f t="shared" si="2"/>
        <v>29.5</v>
      </c>
      <c r="Q14" s="67">
        <f t="shared" si="2"/>
        <v>103.4</v>
      </c>
      <c r="R14" s="67">
        <f t="shared" si="2"/>
        <v>35.5</v>
      </c>
      <c r="S14" s="67">
        <f t="shared" si="2"/>
        <v>154.5</v>
      </c>
      <c r="T14" s="67">
        <f t="shared" si="2"/>
        <v>0.5</v>
      </c>
      <c r="U14" s="67">
        <f t="shared" si="2"/>
        <v>16.600000000000364</v>
      </c>
      <c r="V14" s="67">
        <f t="shared" si="2"/>
        <v>16.89999999999982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1051.7</v>
      </c>
      <c r="AG14" s="72">
        <f>AG10-AG11-AG12-AG13</f>
        <v>2401.2800000000034</v>
      </c>
      <c r="AH14" s="18"/>
    </row>
    <row r="15" spans="1:35" ht="15" customHeight="1">
      <c r="A15" s="4" t="s">
        <v>6</v>
      </c>
      <c r="B15" s="72">
        <f>112819.9+20.8</f>
        <v>112840.7</v>
      </c>
      <c r="C15" s="72">
        <f>25089.2-0.3</f>
        <v>25088.9</v>
      </c>
      <c r="D15" s="73"/>
      <c r="E15" s="73">
        <v>82</v>
      </c>
      <c r="F15" s="67">
        <f>278.2+3644</f>
        <v>3922.2</v>
      </c>
      <c r="G15" s="67">
        <v>19.8</v>
      </c>
      <c r="H15" s="67">
        <v>76</v>
      </c>
      <c r="I15" s="67">
        <v>1002.9</v>
      </c>
      <c r="J15" s="72">
        <v>178.6</v>
      </c>
      <c r="K15" s="67">
        <f>57.8+36528.9</f>
        <v>36586.700000000004</v>
      </c>
      <c r="L15" s="72">
        <v>19640.2</v>
      </c>
      <c r="M15" s="67">
        <v>667.4</v>
      </c>
      <c r="N15" s="67">
        <v>627.6</v>
      </c>
      <c r="O15" s="71">
        <v>59.4</v>
      </c>
      <c r="P15" s="67">
        <v>862.1</v>
      </c>
      <c r="Q15" s="71">
        <v>361.5</v>
      </c>
      <c r="R15" s="67">
        <v>807</v>
      </c>
      <c r="S15" s="72">
        <v>809.7</v>
      </c>
      <c r="T15" s="72">
        <v>215</v>
      </c>
      <c r="U15" s="72">
        <f>31363.2+8511.9</f>
        <v>39875.1</v>
      </c>
      <c r="V15" s="72">
        <f>2.4-0.5</f>
        <v>1.9</v>
      </c>
      <c r="W15" s="72">
        <v>-1.1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105794</v>
      </c>
      <c r="AG15" s="72">
        <f aca="true" t="shared" si="3" ref="AG15:AG31">B15+C15-AF15</f>
        <v>32135.600000000006</v>
      </c>
      <c r="AH15" s="18"/>
      <c r="AI15" s="86"/>
    </row>
    <row r="16" spans="1:34" s="53" customFormat="1" ht="15" customHeight="1">
      <c r="A16" s="51" t="s">
        <v>38</v>
      </c>
      <c r="B16" s="76">
        <v>48073.8</v>
      </c>
      <c r="C16" s="76">
        <v>4108.5999999999985</v>
      </c>
      <c r="D16" s="74"/>
      <c r="E16" s="74"/>
      <c r="F16" s="75">
        <v>3644</v>
      </c>
      <c r="G16" s="75"/>
      <c r="H16" s="75"/>
      <c r="I16" s="75"/>
      <c r="J16" s="76"/>
      <c r="K16" s="75">
        <v>36528.9</v>
      </c>
      <c r="L16" s="76"/>
      <c r="M16" s="75"/>
      <c r="N16" s="75"/>
      <c r="O16" s="77"/>
      <c r="P16" s="75"/>
      <c r="Q16" s="77"/>
      <c r="R16" s="75"/>
      <c r="S16" s="76"/>
      <c r="T16" s="76"/>
      <c r="U16" s="76">
        <v>8511.9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48684.8</v>
      </c>
      <c r="AG16" s="115">
        <f t="shared" si="3"/>
        <v>3497.5999999999985</v>
      </c>
      <c r="AH16" s="116"/>
    </row>
    <row r="17" spans="1:34" ht="15.75">
      <c r="A17" s="3" t="s">
        <v>5</v>
      </c>
      <c r="B17" s="72">
        <f>103254.4+97.3</f>
        <v>103351.7</v>
      </c>
      <c r="C17" s="72">
        <f>10237.3+0.1</f>
        <v>10237.4</v>
      </c>
      <c r="D17" s="67"/>
      <c r="E17" s="67"/>
      <c r="F17" s="67">
        <f>3644+211.9</f>
        <v>3855.9</v>
      </c>
      <c r="G17" s="67"/>
      <c r="H17" s="67"/>
      <c r="I17" s="67"/>
      <c r="J17" s="72"/>
      <c r="K17" s="67">
        <v>36528.9</v>
      </c>
      <c r="L17" s="72">
        <v>19638.7</v>
      </c>
      <c r="M17" s="67"/>
      <c r="N17" s="67"/>
      <c r="O17" s="71"/>
      <c r="P17" s="67"/>
      <c r="Q17" s="71"/>
      <c r="R17" s="67">
        <v>2</v>
      </c>
      <c r="S17" s="72"/>
      <c r="T17" s="72"/>
      <c r="U17" s="72">
        <f>31336+8511.9</f>
        <v>39847.9</v>
      </c>
      <c r="V17" s="72">
        <v>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99875.7</v>
      </c>
      <c r="AG17" s="72">
        <f t="shared" si="3"/>
        <v>13713.399999999994</v>
      </c>
      <c r="AH17" s="21"/>
    </row>
    <row r="18" spans="1:34" ht="15.75">
      <c r="A18" s="3" t="s">
        <v>3</v>
      </c>
      <c r="B18" s="72">
        <v>0</v>
      </c>
      <c r="C18" s="72">
        <f>13.2-0.3</f>
        <v>12.899999999999999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>
        <v>3.4</v>
      </c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3146.4+12.6</f>
        <v>3159</v>
      </c>
      <c r="C19" s="72">
        <f>6448.1-0.3</f>
        <v>6447.8</v>
      </c>
      <c r="D19" s="67"/>
      <c r="E19" s="67">
        <v>69.8</v>
      </c>
      <c r="F19" s="67"/>
      <c r="G19" s="67">
        <v>0.8</v>
      </c>
      <c r="H19" s="67">
        <v>49.9</v>
      </c>
      <c r="I19" s="67">
        <v>377.2</v>
      </c>
      <c r="J19" s="72">
        <v>2.2</v>
      </c>
      <c r="K19" s="67"/>
      <c r="L19" s="72"/>
      <c r="M19" s="67">
        <v>83.3</v>
      </c>
      <c r="N19" s="67">
        <v>20.3</v>
      </c>
      <c r="O19" s="71">
        <v>19.4</v>
      </c>
      <c r="P19" s="67"/>
      <c r="Q19" s="71"/>
      <c r="R19" s="67">
        <v>61.4</v>
      </c>
      <c r="S19" s="72">
        <v>113.3</v>
      </c>
      <c r="T19" s="72">
        <v>79.3</v>
      </c>
      <c r="U19" s="72">
        <v>1.8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878.6999999999997</v>
      </c>
      <c r="AG19" s="72">
        <f t="shared" si="3"/>
        <v>8728.1</v>
      </c>
      <c r="AH19" s="18"/>
    </row>
    <row r="20" spans="1:34" ht="15.75">
      <c r="A20" s="3" t="s">
        <v>2</v>
      </c>
      <c r="B20" s="72">
        <f>1460.1-97.3</f>
        <v>1362.8</v>
      </c>
      <c r="C20" s="72">
        <f>1493+0.1-0.2</f>
        <v>1492.8999999999999</v>
      </c>
      <c r="D20" s="67"/>
      <c r="E20" s="67">
        <v>12.2</v>
      </c>
      <c r="F20" s="67">
        <v>0.6</v>
      </c>
      <c r="G20" s="67"/>
      <c r="H20" s="67">
        <v>23.5</v>
      </c>
      <c r="I20" s="67">
        <v>73.7</v>
      </c>
      <c r="J20" s="72">
        <v>134.5</v>
      </c>
      <c r="K20" s="67">
        <v>0.6</v>
      </c>
      <c r="L20" s="72"/>
      <c r="M20" s="67">
        <v>32.8</v>
      </c>
      <c r="N20" s="67">
        <v>63.2</v>
      </c>
      <c r="O20" s="71">
        <v>34.6</v>
      </c>
      <c r="P20" s="67">
        <v>525.1</v>
      </c>
      <c r="Q20" s="71">
        <v>122.6</v>
      </c>
      <c r="R20" s="67">
        <v>112.2</v>
      </c>
      <c r="S20" s="72">
        <v>407.2</v>
      </c>
      <c r="T20" s="72">
        <v>3.4</v>
      </c>
      <c r="U20" s="72">
        <v>1.8</v>
      </c>
      <c r="V20" s="72"/>
      <c r="W20" s="72">
        <v>-1.1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1546.9</v>
      </c>
      <c r="AG20" s="72">
        <f t="shared" si="3"/>
        <v>1308.7999999999997</v>
      </c>
      <c r="AH20" s="18"/>
    </row>
    <row r="21" spans="1:34" ht="15.75">
      <c r="A21" s="3" t="s">
        <v>16</v>
      </c>
      <c r="B21" s="72">
        <v>965.4</v>
      </c>
      <c r="C21" s="72">
        <v>241.70000000000005</v>
      </c>
      <c r="D21" s="67"/>
      <c r="E21" s="67"/>
      <c r="F21" s="67"/>
      <c r="G21" s="67">
        <v>19</v>
      </c>
      <c r="H21" s="67"/>
      <c r="I21" s="67"/>
      <c r="J21" s="72"/>
      <c r="K21" s="67"/>
      <c r="L21" s="72"/>
      <c r="M21" s="67">
        <f>523.5+21.1</f>
        <v>544.6</v>
      </c>
      <c r="N21" s="67"/>
      <c r="O21" s="71"/>
      <c r="P21" s="67">
        <v>168.9</v>
      </c>
      <c r="Q21" s="71">
        <v>208.4</v>
      </c>
      <c r="R21" s="67">
        <v>214.2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1155.1</v>
      </c>
      <c r="AG21" s="72">
        <f t="shared" si="3"/>
        <v>52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4001.7999999999997</v>
      </c>
      <c r="C23" s="72">
        <f t="shared" si="4"/>
        <v>6656.2000000000035</v>
      </c>
      <c r="D23" s="67">
        <f t="shared" si="4"/>
        <v>0</v>
      </c>
      <c r="E23" s="67">
        <f t="shared" si="4"/>
        <v>3.552713678800501E-15</v>
      </c>
      <c r="F23" s="67">
        <f t="shared" si="4"/>
        <v>65.69999999999973</v>
      </c>
      <c r="G23" s="67">
        <f t="shared" si="4"/>
        <v>0</v>
      </c>
      <c r="H23" s="67">
        <f t="shared" si="4"/>
        <v>2.6000000000000014</v>
      </c>
      <c r="I23" s="67">
        <f t="shared" si="4"/>
        <v>552</v>
      </c>
      <c r="J23" s="72">
        <f t="shared" si="4"/>
        <v>41.900000000000006</v>
      </c>
      <c r="K23" s="67">
        <f t="shared" si="4"/>
        <v>57.20000000000291</v>
      </c>
      <c r="L23" s="72">
        <f t="shared" si="4"/>
        <v>1.5</v>
      </c>
      <c r="M23" s="67">
        <f t="shared" si="4"/>
        <v>6.7000000000000455</v>
      </c>
      <c r="N23" s="67">
        <f t="shared" si="4"/>
        <v>544.1</v>
      </c>
      <c r="O23" s="67">
        <f t="shared" si="4"/>
        <v>5.399999999999999</v>
      </c>
      <c r="P23" s="67">
        <f t="shared" si="4"/>
        <v>168.1</v>
      </c>
      <c r="Q23" s="67">
        <f t="shared" si="4"/>
        <v>30.5</v>
      </c>
      <c r="R23" s="67">
        <f t="shared" si="4"/>
        <v>413.8</v>
      </c>
      <c r="S23" s="67">
        <f t="shared" si="4"/>
        <v>289.2000000000001</v>
      </c>
      <c r="T23" s="67">
        <f t="shared" si="4"/>
        <v>132.29999999999998</v>
      </c>
      <c r="U23" s="67">
        <f t="shared" si="4"/>
        <v>23.599999999997088</v>
      </c>
      <c r="V23" s="67">
        <f t="shared" si="4"/>
        <v>-0.3999999999999999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2334.2</v>
      </c>
      <c r="AG23" s="72">
        <f>B23+C23-AF23</f>
        <v>8323.800000000003</v>
      </c>
      <c r="AH23" s="18"/>
    </row>
    <row r="24" spans="1:35" ht="15" customHeight="1">
      <c r="A24" s="4" t="s">
        <v>7</v>
      </c>
      <c r="B24" s="72">
        <f>35291.1+185.6</f>
        <v>35476.7</v>
      </c>
      <c r="C24" s="72">
        <f>9600.09999999999-0.4</f>
        <v>9599.69999999999</v>
      </c>
      <c r="D24" s="67"/>
      <c r="E24" s="67">
        <v>348.3</v>
      </c>
      <c r="F24" s="67"/>
      <c r="G24" s="67">
        <v>154.4</v>
      </c>
      <c r="H24" s="67">
        <v>28.9</v>
      </c>
      <c r="I24" s="67">
        <f>832.9+1674.2+0.2</f>
        <v>2507.2999999999997</v>
      </c>
      <c r="J24" s="72">
        <v>402.7</v>
      </c>
      <c r="K24" s="67">
        <f>21.6+10818.2</f>
        <v>10839.800000000001</v>
      </c>
      <c r="L24" s="72">
        <f>829.8+662.4</f>
        <v>1492.1999999999998</v>
      </c>
      <c r="M24" s="67"/>
      <c r="N24" s="67">
        <f>207+834.4</f>
        <v>1041.4</v>
      </c>
      <c r="O24" s="71">
        <f>12.4+49.4</f>
        <v>61.8</v>
      </c>
      <c r="P24" s="67">
        <f>111.7+213.2</f>
        <v>324.9</v>
      </c>
      <c r="Q24" s="71">
        <f>173.4+378.8</f>
        <v>552.2</v>
      </c>
      <c r="R24" s="71">
        <f>383.4+338</f>
        <v>721.4</v>
      </c>
      <c r="S24" s="72">
        <f>205.3+188.2</f>
        <v>393.5</v>
      </c>
      <c r="T24" s="72">
        <v>217.6</v>
      </c>
      <c r="U24" s="72">
        <f>9373.5+8656.4</f>
        <v>18029.9</v>
      </c>
      <c r="V24" s="72">
        <v>601.1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37717.4</v>
      </c>
      <c r="AG24" s="72">
        <f t="shared" si="3"/>
        <v>7358.999999999985</v>
      </c>
      <c r="AI24" s="86"/>
    </row>
    <row r="25" spans="1:35" s="117" customFormat="1" ht="15" customHeight="1">
      <c r="A25" s="113" t="s">
        <v>39</v>
      </c>
      <c r="B25" s="76">
        <f>22002.9+185.6</f>
        <v>22188.5</v>
      </c>
      <c r="C25" s="76">
        <v>2333.8</v>
      </c>
      <c r="D25" s="76"/>
      <c r="E25" s="76"/>
      <c r="F25" s="76"/>
      <c r="G25" s="76">
        <v>154.4</v>
      </c>
      <c r="H25" s="76">
        <v>28.9</v>
      </c>
      <c r="I25" s="76">
        <v>1674.2</v>
      </c>
      <c r="J25" s="76"/>
      <c r="K25" s="76">
        <v>10818.2</v>
      </c>
      <c r="L25" s="76">
        <v>662.4</v>
      </c>
      <c r="M25" s="76"/>
      <c r="N25" s="76">
        <v>834.4</v>
      </c>
      <c r="O25" s="76">
        <v>49.5</v>
      </c>
      <c r="P25" s="76">
        <v>213.2</v>
      </c>
      <c r="Q25" s="76">
        <v>378.8</v>
      </c>
      <c r="R25" s="76">
        <v>338</v>
      </c>
      <c r="S25" s="76">
        <v>188.2</v>
      </c>
      <c r="T25" s="76">
        <v>217.6</v>
      </c>
      <c r="U25" s="76">
        <v>8656.4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24214.2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35476.7</v>
      </c>
      <c r="C32" s="72">
        <v>9599.69999999999</v>
      </c>
      <c r="D32" s="67">
        <f aca="true" t="shared" si="5" ref="D32:AD32">D24-D26-D27-D28-D29-D30-D31</f>
        <v>0</v>
      </c>
      <c r="E32" s="67">
        <f t="shared" si="5"/>
        <v>348.3</v>
      </c>
      <c r="F32" s="67">
        <f t="shared" si="5"/>
        <v>0</v>
      </c>
      <c r="G32" s="67">
        <f t="shared" si="5"/>
        <v>154.4</v>
      </c>
      <c r="H32" s="67">
        <f t="shared" si="5"/>
        <v>28.9</v>
      </c>
      <c r="I32" s="67">
        <f t="shared" si="5"/>
        <v>2507.2999999999997</v>
      </c>
      <c r="J32" s="72">
        <f t="shared" si="5"/>
        <v>402.7</v>
      </c>
      <c r="K32" s="67">
        <f t="shared" si="5"/>
        <v>10839.800000000001</v>
      </c>
      <c r="L32" s="72">
        <f t="shared" si="5"/>
        <v>1492.1999999999998</v>
      </c>
      <c r="M32" s="67">
        <f t="shared" si="5"/>
        <v>0</v>
      </c>
      <c r="N32" s="67">
        <f t="shared" si="5"/>
        <v>1041.4</v>
      </c>
      <c r="O32" s="67">
        <f t="shared" si="5"/>
        <v>61.8</v>
      </c>
      <c r="P32" s="67">
        <f t="shared" si="5"/>
        <v>324.9</v>
      </c>
      <c r="Q32" s="67">
        <f t="shared" si="5"/>
        <v>552.2</v>
      </c>
      <c r="R32" s="67">
        <f t="shared" si="5"/>
        <v>721.4</v>
      </c>
      <c r="S32" s="67">
        <f t="shared" si="5"/>
        <v>393.5</v>
      </c>
      <c r="T32" s="67">
        <f t="shared" si="5"/>
        <v>217.6</v>
      </c>
      <c r="U32" s="67">
        <f t="shared" si="5"/>
        <v>18029.9</v>
      </c>
      <c r="V32" s="67">
        <f t="shared" si="5"/>
        <v>601.1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37717.4</v>
      </c>
      <c r="AG32" s="72">
        <f>AG24</f>
        <v>7358.999999999985</v>
      </c>
    </row>
    <row r="33" spans="1:33" ht="15" customHeight="1">
      <c r="A33" s="4" t="s">
        <v>8</v>
      </c>
      <c r="B33" s="72">
        <f>2279.99+32.4</f>
        <v>2312.39</v>
      </c>
      <c r="C33" s="72">
        <f>79.4+3</f>
        <v>82.4</v>
      </c>
      <c r="D33" s="67"/>
      <c r="E33" s="67"/>
      <c r="F33" s="67"/>
      <c r="G33" s="67"/>
      <c r="H33" s="67"/>
      <c r="I33" s="67"/>
      <c r="J33" s="72"/>
      <c r="K33" s="67">
        <v>41</v>
      </c>
      <c r="L33" s="72">
        <v>50.9</v>
      </c>
      <c r="M33" s="67"/>
      <c r="N33" s="67">
        <v>0.1</v>
      </c>
      <c r="O33" s="71"/>
      <c r="P33" s="67"/>
      <c r="Q33" s="71">
        <v>2.6</v>
      </c>
      <c r="R33" s="67">
        <v>120</v>
      </c>
      <c r="S33" s="72"/>
      <c r="T33" s="72"/>
      <c r="U33" s="72"/>
      <c r="V33" s="72">
        <v>203</v>
      </c>
      <c r="W33" s="72">
        <v>53.7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471.3</v>
      </c>
      <c r="AG33" s="72">
        <f aca="true" t="shared" si="6" ref="AG33:AG38">B33+C33-AF33</f>
        <v>1923.49</v>
      </c>
    </row>
    <row r="34" spans="1:33" ht="15.75">
      <c r="A34" s="3" t="s">
        <v>5</v>
      </c>
      <c r="B34" s="72">
        <v>295.8</v>
      </c>
      <c r="C34" s="72">
        <v>38.4</v>
      </c>
      <c r="D34" s="67"/>
      <c r="E34" s="67"/>
      <c r="F34" s="67"/>
      <c r="G34" s="67"/>
      <c r="H34" s="67"/>
      <c r="I34" s="67"/>
      <c r="J34" s="72"/>
      <c r="K34" s="67">
        <v>35.4</v>
      </c>
      <c r="L34" s="72">
        <v>50.9</v>
      </c>
      <c r="M34" s="67"/>
      <c r="N34" s="67"/>
      <c r="O34" s="67"/>
      <c r="P34" s="67"/>
      <c r="Q34" s="71"/>
      <c r="R34" s="67">
        <v>119.2</v>
      </c>
      <c r="S34" s="72"/>
      <c r="T34" s="72"/>
      <c r="U34" s="72"/>
      <c r="V34" s="72">
        <v>73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278.5</v>
      </c>
      <c r="AG34" s="72">
        <f t="shared" si="6"/>
        <v>55.69999999999999</v>
      </c>
    </row>
    <row r="35" spans="1:33" ht="15.75">
      <c r="A35" s="3" t="s">
        <v>1</v>
      </c>
      <c r="B35" s="72">
        <f>263.2+32.4</f>
        <v>295.59999999999997</v>
      </c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>
        <v>127</v>
      </c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127</v>
      </c>
      <c r="AG35" s="72">
        <f t="shared" si="6"/>
        <v>168.59999999999997</v>
      </c>
    </row>
    <row r="36" spans="1:33" ht="15.7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72"/>
      <c r="K36" s="67">
        <v>0.7</v>
      </c>
      <c r="L36" s="72"/>
      <c r="M36" s="67"/>
      <c r="N36" s="72">
        <v>0.1</v>
      </c>
      <c r="O36" s="71"/>
      <c r="P36" s="67"/>
      <c r="Q36" s="71">
        <v>2.1</v>
      </c>
      <c r="R36" s="67">
        <v>0.1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</v>
      </c>
      <c r="AG36" s="72">
        <f t="shared" si="6"/>
        <v>17.7</v>
      </c>
    </row>
    <row r="37" spans="1:33" ht="15.75">
      <c r="A37" s="3" t="s">
        <v>16</v>
      </c>
      <c r="B37" s="72">
        <v>1633.1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1633.1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84.89000000000004</v>
      </c>
      <c r="C39" s="72">
        <f t="shared" si="7"/>
        <v>26.300000000000008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4.900000000000001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0.5</v>
      </c>
      <c r="R39" s="67">
        <f t="shared" si="7"/>
        <v>0.6999999999999972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3</v>
      </c>
      <c r="W39" s="67">
        <f t="shared" si="7"/>
        <v>53.7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62.8</v>
      </c>
      <c r="AG39" s="72">
        <f>AG33-AG34-AG36-AG38-AG35-AG37</f>
        <v>48.3900000000001</v>
      </c>
    </row>
    <row r="40" spans="1:33" ht="15" customHeight="1">
      <c r="A40" s="4" t="s">
        <v>29</v>
      </c>
      <c r="B40" s="72">
        <v>1098.8</v>
      </c>
      <c r="C40" s="72">
        <f>120.8+0.1</f>
        <v>120.89999999999999</v>
      </c>
      <c r="D40" s="67"/>
      <c r="E40" s="67"/>
      <c r="F40" s="67"/>
      <c r="G40" s="67"/>
      <c r="H40" s="67"/>
      <c r="I40" s="67"/>
      <c r="J40" s="72"/>
      <c r="K40" s="67">
        <f>25.5</f>
        <v>25.5</v>
      </c>
      <c r="L40" s="72">
        <v>366.5</v>
      </c>
      <c r="M40" s="67"/>
      <c r="N40" s="67"/>
      <c r="O40" s="71"/>
      <c r="P40" s="67"/>
      <c r="Q40" s="71"/>
      <c r="R40" s="71"/>
      <c r="S40" s="72">
        <v>16.5</v>
      </c>
      <c r="T40" s="72"/>
      <c r="U40" s="72">
        <v>692.2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1100.7</v>
      </c>
      <c r="AG40" s="72">
        <f aca="true" t="shared" si="8" ref="AG40:AG45">B40+C40-AF40</f>
        <v>119</v>
      </c>
    </row>
    <row r="41" spans="1:34" ht="15.75">
      <c r="A41" s="3" t="s">
        <v>5</v>
      </c>
      <c r="B41" s="72">
        <v>1049</v>
      </c>
      <c r="C41" s="72">
        <f>45.6</f>
        <v>45.6</v>
      </c>
      <c r="D41" s="67"/>
      <c r="E41" s="67"/>
      <c r="F41" s="67"/>
      <c r="G41" s="67"/>
      <c r="H41" s="67"/>
      <c r="I41" s="67"/>
      <c r="J41" s="72"/>
      <c r="K41" s="67"/>
      <c r="L41" s="72">
        <v>366.5</v>
      </c>
      <c r="M41" s="67"/>
      <c r="N41" s="67"/>
      <c r="O41" s="71"/>
      <c r="P41" s="67"/>
      <c r="Q41" s="67"/>
      <c r="R41" s="67"/>
      <c r="S41" s="72"/>
      <c r="T41" s="72"/>
      <c r="U41" s="72">
        <v>692.2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1058.7</v>
      </c>
      <c r="AG41" s="72">
        <f t="shared" si="8"/>
        <v>35.899999999999864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13.400000000000002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>
        <v>8.4</v>
      </c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8.4</v>
      </c>
      <c r="AG43" s="72">
        <f t="shared" si="8"/>
        <v>14.6</v>
      </c>
    </row>
    <row r="44" spans="1:33" ht="15.75">
      <c r="A44" s="3" t="s">
        <v>2</v>
      </c>
      <c r="B44" s="72">
        <v>8.8</v>
      </c>
      <c r="C44" s="72">
        <f>46.8-0.1</f>
        <v>46.699999999999996</v>
      </c>
      <c r="D44" s="67"/>
      <c r="E44" s="67"/>
      <c r="F44" s="67"/>
      <c r="G44" s="67"/>
      <c r="H44" s="67"/>
      <c r="I44" s="67"/>
      <c r="J44" s="72"/>
      <c r="K44" s="67">
        <v>0.4</v>
      </c>
      <c r="L44" s="72"/>
      <c r="M44" s="67"/>
      <c r="N44" s="67"/>
      <c r="O44" s="71"/>
      <c r="P44" s="67"/>
      <c r="Q44" s="67"/>
      <c r="R44" s="67"/>
      <c r="S44" s="72">
        <v>4.1</v>
      </c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4.5</v>
      </c>
      <c r="AG44" s="72">
        <f t="shared" si="8"/>
        <v>51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31.399999999999952</v>
      </c>
      <c r="C46" s="72">
        <f t="shared" si="9"/>
        <v>14.399999999999984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25.1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4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29.1</v>
      </c>
      <c r="AG46" s="72">
        <f>AG40-AG41-AG42-AG43-AG44-AG45</f>
        <v>16.700000000000145</v>
      </c>
    </row>
    <row r="47" spans="1:33" ht="17.25" customHeight="1">
      <c r="A47" s="4" t="s">
        <v>43</v>
      </c>
      <c r="B47" s="70">
        <f>2405-50+30.9</f>
        <v>2385.9</v>
      </c>
      <c r="C47" s="72">
        <f>1461.49+9.3</f>
        <v>1470.79</v>
      </c>
      <c r="D47" s="67"/>
      <c r="E47" s="79">
        <v>102.5</v>
      </c>
      <c r="F47" s="79">
        <v>14.5</v>
      </c>
      <c r="G47" s="79">
        <v>115.5</v>
      </c>
      <c r="H47" s="79">
        <v>5</v>
      </c>
      <c r="I47" s="79">
        <v>1833.4</v>
      </c>
      <c r="J47" s="80"/>
      <c r="K47" s="79">
        <v>16.8</v>
      </c>
      <c r="L47" s="80">
        <v>33.9</v>
      </c>
      <c r="M47" s="79">
        <v>103.7</v>
      </c>
      <c r="N47" s="79">
        <v>4.5</v>
      </c>
      <c r="O47" s="81">
        <f>11.9-3.8</f>
        <v>8.100000000000001</v>
      </c>
      <c r="P47" s="79">
        <v>41</v>
      </c>
      <c r="Q47" s="79">
        <v>15.6</v>
      </c>
      <c r="R47" s="79">
        <v>214.9</v>
      </c>
      <c r="S47" s="80"/>
      <c r="T47" s="80">
        <v>15.8</v>
      </c>
      <c r="U47" s="79">
        <v>27.5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2552.7000000000003</v>
      </c>
      <c r="AG47" s="72">
        <f>B47+C47-AF47</f>
        <v>1303.9899999999998</v>
      </c>
    </row>
    <row r="48" spans="1:33" ht="15.75">
      <c r="A48" s="3" t="s">
        <v>5</v>
      </c>
      <c r="B48" s="72">
        <v>36.4</v>
      </c>
      <c r="C48" s="72">
        <v>73.1</v>
      </c>
      <c r="D48" s="67"/>
      <c r="E48" s="79"/>
      <c r="F48" s="79"/>
      <c r="G48" s="79"/>
      <c r="H48" s="79"/>
      <c r="I48" s="79"/>
      <c r="J48" s="80"/>
      <c r="K48" s="79"/>
      <c r="L48" s="80">
        <v>33.9</v>
      </c>
      <c r="M48" s="79"/>
      <c r="N48" s="79"/>
      <c r="O48" s="81"/>
      <c r="P48" s="79"/>
      <c r="Q48" s="79"/>
      <c r="R48" s="79"/>
      <c r="S48" s="80"/>
      <c r="T48" s="80"/>
      <c r="U48" s="79">
        <v>5.2</v>
      </c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39.1</v>
      </c>
      <c r="AG48" s="72">
        <f>B48+C48-AF48</f>
        <v>70.4</v>
      </c>
    </row>
    <row r="49" spans="1:33" ht="15.75">
      <c r="A49" s="3" t="s">
        <v>16</v>
      </c>
      <c r="B49" s="72">
        <f>2171.5-50+30.9</f>
        <v>2152.4</v>
      </c>
      <c r="C49" s="72">
        <f>1018.07-93.6</f>
        <v>924.47</v>
      </c>
      <c r="D49" s="67"/>
      <c r="E49" s="67">
        <v>61.9</v>
      </c>
      <c r="F49" s="67">
        <v>1.8</v>
      </c>
      <c r="G49" s="67">
        <v>115.5</v>
      </c>
      <c r="H49" s="67"/>
      <c r="I49" s="67">
        <f>140+1668.2</f>
        <v>1808.2</v>
      </c>
      <c r="J49" s="72"/>
      <c r="K49" s="67"/>
      <c r="L49" s="72"/>
      <c r="M49" s="67">
        <v>96.2</v>
      </c>
      <c r="N49" s="67"/>
      <c r="O49" s="71"/>
      <c r="P49" s="67">
        <v>37.2</v>
      </c>
      <c r="Q49" s="67"/>
      <c r="R49" s="67">
        <f>52+150.6</f>
        <v>202.6</v>
      </c>
      <c r="S49" s="72"/>
      <c r="T49" s="72">
        <v>1.8</v>
      </c>
      <c r="U49" s="67">
        <v>8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2333.2</v>
      </c>
      <c r="AG49" s="72">
        <f>B49+C49-AF49</f>
        <v>743.6700000000001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197.0999999999999</v>
      </c>
      <c r="C51" s="72">
        <f aca="true" t="shared" si="10" ref="C51:AD51">C47-C48-C49</f>
        <v>473.22</v>
      </c>
      <c r="D51" s="67">
        <f t="shared" si="10"/>
        <v>0</v>
      </c>
      <c r="E51" s="67">
        <f t="shared" si="10"/>
        <v>40.6</v>
      </c>
      <c r="F51" s="67">
        <f t="shared" si="10"/>
        <v>12.7</v>
      </c>
      <c r="G51" s="67">
        <f t="shared" si="10"/>
        <v>0</v>
      </c>
      <c r="H51" s="67">
        <f t="shared" si="10"/>
        <v>5</v>
      </c>
      <c r="I51" s="67">
        <f t="shared" si="10"/>
        <v>25.200000000000045</v>
      </c>
      <c r="J51" s="72">
        <f t="shared" si="10"/>
        <v>0</v>
      </c>
      <c r="K51" s="67">
        <f t="shared" si="10"/>
        <v>16.8</v>
      </c>
      <c r="L51" s="72">
        <f t="shared" si="10"/>
        <v>0</v>
      </c>
      <c r="M51" s="67">
        <f t="shared" si="10"/>
        <v>7.5</v>
      </c>
      <c r="N51" s="67">
        <f t="shared" si="10"/>
        <v>4.5</v>
      </c>
      <c r="O51" s="67">
        <f t="shared" si="10"/>
        <v>8.100000000000001</v>
      </c>
      <c r="P51" s="67">
        <f t="shared" si="10"/>
        <v>3.799999999999997</v>
      </c>
      <c r="Q51" s="67">
        <f t="shared" si="10"/>
        <v>15.6</v>
      </c>
      <c r="R51" s="67">
        <f t="shared" si="10"/>
        <v>12.300000000000011</v>
      </c>
      <c r="S51" s="67">
        <f t="shared" si="10"/>
        <v>0</v>
      </c>
      <c r="T51" s="67">
        <f t="shared" si="10"/>
        <v>14</v>
      </c>
      <c r="U51" s="67">
        <f t="shared" si="10"/>
        <v>14.3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180.40000000000006</v>
      </c>
      <c r="AG51" s="72">
        <f>AG47-AG49-AG48</f>
        <v>489.91999999999973</v>
      </c>
    </row>
    <row r="52" spans="1:33" ht="15" customHeight="1">
      <c r="A52" s="4" t="s">
        <v>0</v>
      </c>
      <c r="B52" s="72">
        <f>4446.9-312.7-1000-40+6</f>
        <v>3100.2</v>
      </c>
      <c r="C52" s="72">
        <f>3988.71+519.4</f>
        <v>4508.11</v>
      </c>
      <c r="D52" s="67"/>
      <c r="E52" s="67">
        <v>633.2</v>
      </c>
      <c r="F52" s="67">
        <v>5.5</v>
      </c>
      <c r="G52" s="67">
        <v>617.8</v>
      </c>
      <c r="H52" s="67">
        <v>88.3</v>
      </c>
      <c r="I52" s="67">
        <v>22.1</v>
      </c>
      <c r="J52" s="72">
        <v>129.5</v>
      </c>
      <c r="K52" s="67">
        <f>978.2</f>
        <v>978.2</v>
      </c>
      <c r="L52" s="72">
        <v>399.1</v>
      </c>
      <c r="M52" s="67">
        <v>49.9</v>
      </c>
      <c r="N52" s="67">
        <v>14.3</v>
      </c>
      <c r="O52" s="71">
        <v>122.3</v>
      </c>
      <c r="P52" s="67"/>
      <c r="Q52" s="67">
        <v>5.9</v>
      </c>
      <c r="R52" s="67">
        <v>-188.1</v>
      </c>
      <c r="S52" s="72">
        <v>140.6</v>
      </c>
      <c r="T52" s="72">
        <v>994</v>
      </c>
      <c r="U52" s="72">
        <v>5</v>
      </c>
      <c r="V52" s="72">
        <v>190.2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4207.8</v>
      </c>
      <c r="AG52" s="72">
        <f aca="true" t="shared" si="11" ref="AG52:AG59">B52+C52-AF52</f>
        <v>3400.5099999999993</v>
      </c>
    </row>
    <row r="53" spans="1:33" ht="15" customHeight="1">
      <c r="A53" s="3" t="s">
        <v>2</v>
      </c>
      <c r="B53" s="72">
        <f>797.5+6</f>
        <v>803.5</v>
      </c>
      <c r="C53" s="72">
        <f>817.1-2</f>
        <v>815.1</v>
      </c>
      <c r="D53" s="67"/>
      <c r="E53" s="67">
        <v>597.9</v>
      </c>
      <c r="F53" s="67">
        <v>5.5</v>
      </c>
      <c r="G53" s="67"/>
      <c r="H53" s="67">
        <v>67.2</v>
      </c>
      <c r="I53" s="67">
        <v>2.3</v>
      </c>
      <c r="J53" s="72"/>
      <c r="K53" s="67">
        <v>31.9</v>
      </c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90.5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795.3</v>
      </c>
      <c r="AG53" s="72">
        <f t="shared" si="11"/>
        <v>823.3</v>
      </c>
    </row>
    <row r="54" spans="1:34" ht="15" customHeight="1">
      <c r="A54" s="4" t="s">
        <v>9</v>
      </c>
      <c r="B54" s="111">
        <f>1884.6-17.2</f>
        <v>1867.3999999999999</v>
      </c>
      <c r="C54" s="72">
        <v>1321.55</v>
      </c>
      <c r="D54" s="67"/>
      <c r="E54" s="67">
        <v>223.2</v>
      </c>
      <c r="F54" s="67">
        <v>75.3</v>
      </c>
      <c r="G54" s="67">
        <v>12.1</v>
      </c>
      <c r="H54" s="67">
        <v>0.9</v>
      </c>
      <c r="I54" s="67">
        <v>28.4</v>
      </c>
      <c r="J54" s="72">
        <v>36.6</v>
      </c>
      <c r="K54" s="67"/>
      <c r="L54" s="72">
        <v>467.9</v>
      </c>
      <c r="M54" s="67">
        <v>30</v>
      </c>
      <c r="N54" s="67">
        <v>177.9</v>
      </c>
      <c r="O54" s="71">
        <v>3.2</v>
      </c>
      <c r="P54" s="67">
        <v>44.2</v>
      </c>
      <c r="Q54" s="71"/>
      <c r="R54" s="67"/>
      <c r="S54" s="72">
        <v>36.1</v>
      </c>
      <c r="T54" s="72">
        <v>42.8</v>
      </c>
      <c r="U54" s="72">
        <v>662.9</v>
      </c>
      <c r="V54" s="72">
        <v>45.8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1887.3</v>
      </c>
      <c r="AG54" s="72">
        <f t="shared" si="11"/>
        <v>1301.6499999999999</v>
      </c>
      <c r="AH54" s="6"/>
    </row>
    <row r="55" spans="1:34" ht="15.75">
      <c r="A55" s="3" t="s">
        <v>5</v>
      </c>
      <c r="B55" s="72">
        <v>1171.5</v>
      </c>
      <c r="C55" s="72">
        <v>196</v>
      </c>
      <c r="D55" s="67"/>
      <c r="E55" s="67"/>
      <c r="F55" s="67"/>
      <c r="G55" s="67"/>
      <c r="H55" s="67"/>
      <c r="I55" s="67"/>
      <c r="J55" s="72"/>
      <c r="K55" s="67"/>
      <c r="L55" s="72">
        <v>456.7</v>
      </c>
      <c r="M55" s="67"/>
      <c r="N55" s="67"/>
      <c r="O55" s="71"/>
      <c r="P55" s="67"/>
      <c r="Q55" s="71"/>
      <c r="R55" s="67"/>
      <c r="S55" s="72"/>
      <c r="T55" s="72"/>
      <c r="U55" s="72">
        <v>632.3</v>
      </c>
      <c r="V55" s="72">
        <v>12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1101</v>
      </c>
      <c r="AG55" s="72">
        <f t="shared" si="11"/>
        <v>266.5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</v>
      </c>
      <c r="C57" s="72">
        <v>62.500000000000114</v>
      </c>
      <c r="D57" s="72"/>
      <c r="E57" s="72">
        <v>8.4</v>
      </c>
      <c r="F57" s="72"/>
      <c r="G57" s="72"/>
      <c r="H57" s="72"/>
      <c r="I57" s="72"/>
      <c r="J57" s="72">
        <v>29.4</v>
      </c>
      <c r="K57" s="72"/>
      <c r="L57" s="72">
        <v>8.5</v>
      </c>
      <c r="M57" s="72"/>
      <c r="N57" s="72"/>
      <c r="O57" s="72"/>
      <c r="P57" s="72">
        <v>0.2</v>
      </c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46.5</v>
      </c>
      <c r="AG57" s="72">
        <f t="shared" si="11"/>
        <v>36.500000000000114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675.3999999999999</v>
      </c>
      <c r="C60" s="72">
        <f t="shared" si="12"/>
        <v>1063.0499999999997</v>
      </c>
      <c r="D60" s="67">
        <f t="shared" si="12"/>
        <v>0</v>
      </c>
      <c r="E60" s="67">
        <f>E54-E55-E57-E59-E56-E58</f>
        <v>214.79999999999998</v>
      </c>
      <c r="F60" s="67">
        <f t="shared" si="12"/>
        <v>75.3</v>
      </c>
      <c r="G60" s="67">
        <f t="shared" si="12"/>
        <v>12.1</v>
      </c>
      <c r="H60" s="67">
        <f t="shared" si="12"/>
        <v>0.9</v>
      </c>
      <c r="I60" s="67">
        <f t="shared" si="12"/>
        <v>28.4</v>
      </c>
      <c r="J60" s="72">
        <f t="shared" si="12"/>
        <v>7.200000000000003</v>
      </c>
      <c r="K60" s="67">
        <f t="shared" si="12"/>
        <v>0</v>
      </c>
      <c r="L60" s="72">
        <f t="shared" si="12"/>
        <v>2.6999999999999886</v>
      </c>
      <c r="M60" s="67">
        <f t="shared" si="12"/>
        <v>30</v>
      </c>
      <c r="N60" s="67">
        <f t="shared" si="12"/>
        <v>177.9</v>
      </c>
      <c r="O60" s="67">
        <f t="shared" si="12"/>
        <v>3.2</v>
      </c>
      <c r="P60" s="67">
        <f t="shared" si="12"/>
        <v>44</v>
      </c>
      <c r="Q60" s="67">
        <f t="shared" si="12"/>
        <v>0</v>
      </c>
      <c r="R60" s="67">
        <f t="shared" si="12"/>
        <v>0</v>
      </c>
      <c r="S60" s="67">
        <f t="shared" si="12"/>
        <v>36.1</v>
      </c>
      <c r="T60" s="67">
        <f t="shared" si="12"/>
        <v>42.8</v>
      </c>
      <c r="U60" s="67">
        <f t="shared" si="12"/>
        <v>30.600000000000023</v>
      </c>
      <c r="V60" s="67">
        <f t="shared" si="12"/>
        <v>33.8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739.8</v>
      </c>
      <c r="AG60" s="72">
        <f>AG54-AG55-AG57-AG59-AG56-AG58</f>
        <v>998.6499999999997</v>
      </c>
    </row>
    <row r="61" spans="1:33" ht="15" customHeight="1">
      <c r="A61" s="4" t="s">
        <v>10</v>
      </c>
      <c r="B61" s="72">
        <f>104-36</f>
        <v>68</v>
      </c>
      <c r="C61" s="72">
        <f>746.7-181.7</f>
        <v>565</v>
      </c>
      <c r="D61" s="67"/>
      <c r="E61" s="67"/>
      <c r="F61" s="67"/>
      <c r="G61" s="67"/>
      <c r="H61" s="67">
        <v>0.2</v>
      </c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2.1</v>
      </c>
      <c r="T61" s="72"/>
      <c r="U61" s="72"/>
      <c r="V61" s="72">
        <v>7.5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</v>
      </c>
      <c r="AG61" s="72">
        <f aca="true" t="shared" si="14" ref="AG61:AG67">B61+C61-AF61</f>
        <v>623.2</v>
      </c>
    </row>
    <row r="62" spans="1:33" s="18" customFormat="1" ht="15" customHeight="1">
      <c r="A62" s="108" t="s">
        <v>11</v>
      </c>
      <c r="B62" s="72">
        <v>3544.6</v>
      </c>
      <c r="C62" s="72">
        <f>1459.8+0.2</f>
        <v>1460</v>
      </c>
      <c r="D62" s="72"/>
      <c r="E62" s="72"/>
      <c r="F62" s="72"/>
      <c r="G62" s="72">
        <v>100</v>
      </c>
      <c r="H62" s="72"/>
      <c r="I62" s="72"/>
      <c r="J62" s="72">
        <v>18.9</v>
      </c>
      <c r="K62" s="72"/>
      <c r="L62" s="72">
        <v>1485.3</v>
      </c>
      <c r="M62" s="72">
        <v>8.7</v>
      </c>
      <c r="N62" s="72">
        <v>39.9</v>
      </c>
      <c r="O62" s="72"/>
      <c r="P62" s="72"/>
      <c r="Q62" s="72">
        <v>13.8</v>
      </c>
      <c r="R62" s="72">
        <v>4.4</v>
      </c>
      <c r="S62" s="72"/>
      <c r="T62" s="72">
        <v>233.8</v>
      </c>
      <c r="U62" s="72">
        <v>892</v>
      </c>
      <c r="V62" s="72"/>
      <c r="W62" s="72">
        <v>14.5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2811.3</v>
      </c>
      <c r="AG62" s="72">
        <f t="shared" si="14"/>
        <v>2193.3</v>
      </c>
    </row>
    <row r="63" spans="1:34" ht="15.75">
      <c r="A63" s="3" t="s">
        <v>5</v>
      </c>
      <c r="B63" s="72">
        <v>2591.8</v>
      </c>
      <c r="C63" s="72">
        <v>651.0999999999999</v>
      </c>
      <c r="D63" s="67"/>
      <c r="E63" s="67"/>
      <c r="F63" s="67"/>
      <c r="G63" s="67"/>
      <c r="H63" s="67"/>
      <c r="I63" s="67"/>
      <c r="J63" s="72"/>
      <c r="K63" s="67"/>
      <c r="L63" s="72">
        <v>1196.1</v>
      </c>
      <c r="M63" s="67"/>
      <c r="N63" s="67"/>
      <c r="O63" s="71"/>
      <c r="P63" s="67"/>
      <c r="Q63" s="71"/>
      <c r="R63" s="67"/>
      <c r="S63" s="72"/>
      <c r="T63" s="72"/>
      <c r="U63" s="72">
        <v>785.4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1981.5</v>
      </c>
      <c r="AG63" s="72">
        <f t="shared" si="14"/>
        <v>1261.4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53.1</v>
      </c>
      <c r="C65" s="72">
        <f>60.2+0.4</f>
        <v>60.6</v>
      </c>
      <c r="D65" s="67"/>
      <c r="E65" s="67"/>
      <c r="F65" s="67"/>
      <c r="G65" s="67">
        <v>4.8</v>
      </c>
      <c r="H65" s="67"/>
      <c r="I65" s="67"/>
      <c r="J65" s="72">
        <v>2.2</v>
      </c>
      <c r="K65" s="67"/>
      <c r="L65" s="72">
        <v>3.6</v>
      </c>
      <c r="M65" s="67"/>
      <c r="N65" s="67">
        <v>32.5</v>
      </c>
      <c r="O65" s="71"/>
      <c r="P65" s="67"/>
      <c r="Q65" s="71"/>
      <c r="R65" s="67"/>
      <c r="S65" s="72"/>
      <c r="T65" s="72"/>
      <c r="U65" s="72">
        <v>6.4</v>
      </c>
      <c r="V65" s="72"/>
      <c r="W65" s="72">
        <v>7.8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57.3</v>
      </c>
      <c r="AG65" s="72">
        <f t="shared" si="14"/>
        <v>56.400000000000006</v>
      </c>
      <c r="AH65" s="6"/>
    </row>
    <row r="66" spans="1:33" ht="15.75">
      <c r="A66" s="3" t="s">
        <v>2</v>
      </c>
      <c r="B66" s="72">
        <v>34.2</v>
      </c>
      <c r="C66" s="72">
        <f>112.3-16.2</f>
        <v>96.1</v>
      </c>
      <c r="D66" s="67"/>
      <c r="E66" s="67"/>
      <c r="F66" s="67"/>
      <c r="G66" s="67">
        <v>2.5</v>
      </c>
      <c r="H66" s="67"/>
      <c r="I66" s="67"/>
      <c r="J66" s="72">
        <v>1.1</v>
      </c>
      <c r="K66" s="67"/>
      <c r="L66" s="72">
        <v>3.8</v>
      </c>
      <c r="M66" s="67"/>
      <c r="N66" s="67">
        <v>2.1</v>
      </c>
      <c r="O66" s="71"/>
      <c r="P66" s="67"/>
      <c r="Q66" s="67"/>
      <c r="R66" s="67"/>
      <c r="S66" s="72"/>
      <c r="T66" s="72"/>
      <c r="U66" s="72">
        <v>10.3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19.8</v>
      </c>
      <c r="AG66" s="72">
        <f t="shared" si="14"/>
        <v>110.50000000000001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>
        <v>110</v>
      </c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755.4999999999997</v>
      </c>
      <c r="C68" s="72">
        <f t="shared" si="15"/>
        <v>652.2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92.7</v>
      </c>
      <c r="H68" s="67">
        <f t="shared" si="15"/>
        <v>0</v>
      </c>
      <c r="I68" s="67">
        <f t="shared" si="15"/>
        <v>0</v>
      </c>
      <c r="J68" s="72">
        <f t="shared" si="15"/>
        <v>15.599999999999998</v>
      </c>
      <c r="K68" s="67">
        <f t="shared" si="15"/>
        <v>0</v>
      </c>
      <c r="L68" s="72">
        <f t="shared" si="15"/>
        <v>171.80000000000004</v>
      </c>
      <c r="M68" s="67">
        <f t="shared" si="15"/>
        <v>8.7</v>
      </c>
      <c r="N68" s="67">
        <f t="shared" si="15"/>
        <v>5.299999999999997</v>
      </c>
      <c r="O68" s="67">
        <f t="shared" si="15"/>
        <v>0</v>
      </c>
      <c r="P68" s="67">
        <f t="shared" si="15"/>
        <v>0</v>
      </c>
      <c r="Q68" s="67">
        <f t="shared" si="15"/>
        <v>13.8</v>
      </c>
      <c r="R68" s="67">
        <f t="shared" si="15"/>
        <v>4.4</v>
      </c>
      <c r="S68" s="67">
        <f t="shared" si="15"/>
        <v>0</v>
      </c>
      <c r="T68" s="67">
        <f t="shared" si="15"/>
        <v>233.8</v>
      </c>
      <c r="U68" s="67">
        <f t="shared" si="15"/>
        <v>89.90000000000002</v>
      </c>
      <c r="V68" s="67">
        <f t="shared" si="15"/>
        <v>0</v>
      </c>
      <c r="W68" s="67">
        <f t="shared" si="15"/>
        <v>6.7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642.7</v>
      </c>
      <c r="AG68" s="72">
        <f>AG62-AG63-AG66-AG67-AG65-AG64</f>
        <v>765.0000000000001</v>
      </c>
    </row>
    <row r="69" spans="1:33" ht="31.5">
      <c r="A69" s="4" t="s">
        <v>45</v>
      </c>
      <c r="B69" s="72">
        <f>3329.6+1268.6</f>
        <v>4598.2</v>
      </c>
      <c r="C69" s="72">
        <v>59.100000000000364</v>
      </c>
      <c r="D69" s="67"/>
      <c r="E69" s="67">
        <v>1416</v>
      </c>
      <c r="F69" s="67"/>
      <c r="G69" s="67"/>
      <c r="H69" s="67"/>
      <c r="I69" s="67"/>
      <c r="J69" s="72"/>
      <c r="K69" s="67"/>
      <c r="L69" s="72"/>
      <c r="M69" s="67"/>
      <c r="N69" s="67">
        <v>1268.6</v>
      </c>
      <c r="O69" s="67"/>
      <c r="P69" s="67">
        <v>1913.6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4598.2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f>136+47.6</f>
        <v>183.6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744.9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744.9</v>
      </c>
      <c r="AG71" s="130">
        <f t="shared" si="16"/>
        <v>338.69999999999993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1443.2-120+36-12-91</f>
        <v>1256.2</v>
      </c>
      <c r="C72" s="72">
        <f>2282.1-17.7+34.7+0.3</f>
        <v>2299.4</v>
      </c>
      <c r="D72" s="67"/>
      <c r="E72" s="67">
        <v>76.6</v>
      </c>
      <c r="F72" s="67">
        <v>110.8</v>
      </c>
      <c r="G72" s="67"/>
      <c r="H72" s="67">
        <v>11</v>
      </c>
      <c r="I72" s="67">
        <v>6.2</v>
      </c>
      <c r="J72" s="72">
        <v>6.5</v>
      </c>
      <c r="K72" s="67">
        <f>3.7+0.6+0.8</f>
        <v>5.1</v>
      </c>
      <c r="L72" s="72">
        <v>23</v>
      </c>
      <c r="M72" s="67">
        <v>61.2</v>
      </c>
      <c r="N72" s="67">
        <v>31.6</v>
      </c>
      <c r="O72" s="67">
        <v>16</v>
      </c>
      <c r="P72" s="67">
        <v>0.1</v>
      </c>
      <c r="Q72" s="71">
        <v>3.7</v>
      </c>
      <c r="R72" s="67">
        <v>48.8</v>
      </c>
      <c r="S72" s="72">
        <v>6.8</v>
      </c>
      <c r="T72" s="72">
        <v>226.4</v>
      </c>
      <c r="U72" s="72">
        <v>76.7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710.5000000000001</v>
      </c>
      <c r="AG72" s="130">
        <f t="shared" si="16"/>
        <v>2845.1000000000004</v>
      </c>
      <c r="AH72" s="86">
        <f>AG72+AG69+AG76</f>
        <v>3135.2600000000007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109.1</f>
        <v>109.1</v>
      </c>
      <c r="C74" s="72">
        <v>358.29999999999995</v>
      </c>
      <c r="D74" s="67"/>
      <c r="E74" s="67">
        <v>62</v>
      </c>
      <c r="F74" s="67"/>
      <c r="G74" s="67"/>
      <c r="H74" s="67"/>
      <c r="I74" s="67"/>
      <c r="J74" s="72"/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62</v>
      </c>
      <c r="AG74" s="130">
        <f t="shared" si="16"/>
        <v>405.4</v>
      </c>
    </row>
    <row r="75" spans="1:33" ht="15" customHeight="1">
      <c r="A75" s="3" t="s">
        <v>16</v>
      </c>
      <c r="B75" s="72">
        <f>22.6+40</f>
        <v>62.6</v>
      </c>
      <c r="C75" s="72">
        <v>30.799999999999997</v>
      </c>
      <c r="D75" s="67"/>
      <c r="E75" s="67">
        <v>7</v>
      </c>
      <c r="F75" s="67"/>
      <c r="G75" s="67"/>
      <c r="H75" s="67"/>
      <c r="I75" s="67"/>
      <c r="J75" s="72"/>
      <c r="K75" s="67">
        <v>3.7</v>
      </c>
      <c r="L75" s="72">
        <v>0</v>
      </c>
      <c r="M75" s="67">
        <v>40</v>
      </c>
      <c r="N75" s="67"/>
      <c r="O75" s="67"/>
      <c r="P75" s="67"/>
      <c r="Q75" s="71">
        <v>1.9</v>
      </c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59.6</v>
      </c>
      <c r="AG75" s="130">
        <f t="shared" si="16"/>
        <v>33.800000000000004</v>
      </c>
    </row>
    <row r="76" spans="1:35" s="11" customFormat="1" ht="15.75">
      <c r="A76" s="12" t="s">
        <v>48</v>
      </c>
      <c r="B76" s="72">
        <f>180.2</f>
        <v>180.2</v>
      </c>
      <c r="C76" s="72">
        <f>496.56+0.2-268.6</f>
        <v>228.15999999999997</v>
      </c>
      <c r="D76" s="67"/>
      <c r="E76" s="79"/>
      <c r="F76" s="79">
        <v>10.4</v>
      </c>
      <c r="G76" s="79"/>
      <c r="H76" s="79"/>
      <c r="I76" s="79"/>
      <c r="J76" s="80"/>
      <c r="K76" s="79">
        <v>82.9</v>
      </c>
      <c r="L76" s="80"/>
      <c r="M76" s="79"/>
      <c r="N76" s="79"/>
      <c r="O76" s="79"/>
      <c r="P76" s="79"/>
      <c r="Q76" s="81"/>
      <c r="R76" s="79"/>
      <c r="S76" s="80">
        <v>84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177.3</v>
      </c>
      <c r="AG76" s="130">
        <f t="shared" si="16"/>
        <v>231.05999999999995</v>
      </c>
      <c r="AI76" s="128"/>
    </row>
    <row r="77" spans="1:33" s="11" customFormat="1" ht="15.75">
      <c r="A77" s="3" t="s">
        <v>5</v>
      </c>
      <c r="B77" s="72">
        <v>143.1</v>
      </c>
      <c r="C77" s="72">
        <f>3.5+0.2</f>
        <v>3.7</v>
      </c>
      <c r="D77" s="67"/>
      <c r="E77" s="79"/>
      <c r="F77" s="79"/>
      <c r="G77" s="79"/>
      <c r="H77" s="79"/>
      <c r="I77" s="79"/>
      <c r="J77" s="80"/>
      <c r="K77" s="79">
        <v>60.7</v>
      </c>
      <c r="L77" s="80"/>
      <c r="M77" s="79"/>
      <c r="N77" s="79"/>
      <c r="O77" s="79"/>
      <c r="P77" s="79"/>
      <c r="Q77" s="81"/>
      <c r="R77" s="79"/>
      <c r="S77" s="80">
        <v>81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141.7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>
        <v>0.1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11.4</v>
      </c>
    </row>
    <row r="81" spans="1:33" s="11" customFormat="1" ht="15.75">
      <c r="A81" s="12" t="s">
        <v>49</v>
      </c>
      <c r="B81" s="72">
        <v>43</v>
      </c>
      <c r="C81" s="80">
        <v>0</v>
      </c>
      <c r="D81" s="79"/>
      <c r="E81" s="79"/>
      <c r="F81" s="79"/>
      <c r="G81" s="79"/>
      <c r="H81" s="79"/>
      <c r="I81" s="79"/>
      <c r="J81" s="80"/>
      <c r="K81" s="79">
        <v>43</v>
      </c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43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527</v>
      </c>
      <c r="C83" s="80">
        <v>0</v>
      </c>
      <c r="D83" s="79"/>
      <c r="E83" s="79"/>
      <c r="F83" s="79"/>
      <c r="G83" s="79"/>
      <c r="H83" s="79">
        <v>527</v>
      </c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527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5349.5-1011+1000+2399+1817.8</f>
        <v>9555.3</v>
      </c>
      <c r="C89" s="72">
        <v>3379.5999999999995</v>
      </c>
      <c r="D89" s="67"/>
      <c r="E89" s="67">
        <v>39.1</v>
      </c>
      <c r="F89" s="67">
        <f>1691.8+858.6</f>
        <v>2550.4</v>
      </c>
      <c r="G89" s="67">
        <v>220.3</v>
      </c>
      <c r="H89" s="67"/>
      <c r="I89" s="67"/>
      <c r="J89" s="72">
        <f>52.6+57.3</f>
        <v>109.9</v>
      </c>
      <c r="K89" s="67">
        <v>368.9</v>
      </c>
      <c r="L89" s="72">
        <f>54.7+360.9</f>
        <v>415.59999999999997</v>
      </c>
      <c r="M89" s="67">
        <v>1446.9</v>
      </c>
      <c r="N89" s="67"/>
      <c r="O89" s="67">
        <v>190.3</v>
      </c>
      <c r="P89" s="67"/>
      <c r="Q89" s="67">
        <v>188.4</v>
      </c>
      <c r="R89" s="67">
        <v>3261.8</v>
      </c>
      <c r="S89" s="72"/>
      <c r="T89" s="72">
        <v>84.9</v>
      </c>
      <c r="U89" s="67">
        <f>1646.6+489.1</f>
        <v>2135.7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11012.2</v>
      </c>
      <c r="AG89" s="72">
        <f t="shared" si="16"/>
        <v>1922.699999999997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19426+1011+432.7+12+24.2-2399-1823.8</f>
        <v>16683.100000000002</v>
      </c>
      <c r="C92" s="72">
        <v>82958.70000000001</v>
      </c>
      <c r="D92" s="67">
        <v>4176</v>
      </c>
      <c r="E92" s="67">
        <v>812.4</v>
      </c>
      <c r="F92" s="67">
        <f>1191.2+449.1</f>
        <v>1640.3000000000002</v>
      </c>
      <c r="G92" s="67">
        <v>2185.9</v>
      </c>
      <c r="H92" s="67">
        <v>2145.9</v>
      </c>
      <c r="I92" s="67">
        <v>1330.7</v>
      </c>
      <c r="J92" s="72">
        <v>112.9</v>
      </c>
      <c r="K92" s="67">
        <v>1987.5</v>
      </c>
      <c r="L92" s="72">
        <v>3050.1</v>
      </c>
      <c r="M92" s="67">
        <v>2547.9</v>
      </c>
      <c r="N92" s="67">
        <v>307.1</v>
      </c>
      <c r="O92" s="67">
        <v>3979.2</v>
      </c>
      <c r="P92" s="67">
        <v>1508.3</v>
      </c>
      <c r="Q92" s="67">
        <v>10779.3</v>
      </c>
      <c r="R92" s="67"/>
      <c r="S92" s="72">
        <v>3507</v>
      </c>
      <c r="T92" s="72">
        <v>12041.7</v>
      </c>
      <c r="U92" s="67">
        <f>2460.1+292.7</f>
        <v>2752.7999999999997</v>
      </c>
      <c r="V92" s="67">
        <v>1498.1</v>
      </c>
      <c r="W92" s="67">
        <v>35.3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56398.4</v>
      </c>
      <c r="AG92" s="72">
        <f t="shared" si="16"/>
        <v>43243.400000000016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220161.69</v>
      </c>
      <c r="C94" s="132">
        <f t="shared" si="17"/>
        <v>138305.31</v>
      </c>
      <c r="D94" s="83">
        <f t="shared" si="17"/>
        <v>4329</v>
      </c>
      <c r="E94" s="83">
        <f t="shared" si="17"/>
        <v>3929.7999999999997</v>
      </c>
      <c r="F94" s="83">
        <f t="shared" si="17"/>
        <v>8537.099999999999</v>
      </c>
      <c r="G94" s="83">
        <f t="shared" si="17"/>
        <v>3509.3</v>
      </c>
      <c r="H94" s="83">
        <f t="shared" si="17"/>
        <v>3306</v>
      </c>
      <c r="I94" s="83">
        <f t="shared" si="17"/>
        <v>7949.899999999999</v>
      </c>
      <c r="J94" s="132">
        <f t="shared" si="17"/>
        <v>1063.1</v>
      </c>
      <c r="K94" s="83">
        <f t="shared" si="17"/>
        <v>50999.70000000001</v>
      </c>
      <c r="L94" s="132">
        <f t="shared" si="17"/>
        <v>33069.1</v>
      </c>
      <c r="M94" s="83">
        <f t="shared" si="17"/>
        <v>6382.299999999999</v>
      </c>
      <c r="N94" s="83">
        <f t="shared" si="17"/>
        <v>4259.8</v>
      </c>
      <c r="O94" s="83">
        <f t="shared" si="17"/>
        <v>4464.099999999999</v>
      </c>
      <c r="P94" s="83">
        <f t="shared" si="17"/>
        <v>4799.5</v>
      </c>
      <c r="Q94" s="83">
        <f t="shared" si="17"/>
        <v>13241.599999999999</v>
      </c>
      <c r="R94" s="83">
        <f t="shared" si="17"/>
        <v>5025.700000000001</v>
      </c>
      <c r="S94" s="83">
        <f t="shared" si="17"/>
        <v>5164.5</v>
      </c>
      <c r="T94" s="83">
        <f t="shared" si="17"/>
        <v>14072.5</v>
      </c>
      <c r="U94" s="83">
        <f t="shared" si="17"/>
        <v>74054.29999999999</v>
      </c>
      <c r="V94" s="83">
        <f t="shared" si="17"/>
        <v>4994.299999999999</v>
      </c>
      <c r="W94" s="83">
        <f t="shared" si="17"/>
        <v>1275.4999999999998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254427.09999999995</v>
      </c>
      <c r="AG94" s="84">
        <f>AG10+AG15+AG24+AG33+AG47+AG52+AG54+AG61+AG62+AG69+AG71+AG72+AG76+AG81+AG82+AG83+AG88+AG89+AG90+AG91+AG70+AG40+AG92</f>
        <v>104039.9</v>
      </c>
    </row>
    <row r="95" spans="1:33" ht="15.75">
      <c r="A95" s="3" t="s">
        <v>5</v>
      </c>
      <c r="B95" s="22">
        <f>B11+B17+B26+B34+B55+B63+B73+B41+B77+B48</f>
        <v>126383.6</v>
      </c>
      <c r="C95" s="109">
        <f aca="true" t="shared" si="18" ref="C95:AD95">C11+C17+C26+C34+C55+C63+C73+C41+C77+C48</f>
        <v>14813.720000000001</v>
      </c>
      <c r="D95" s="67">
        <f t="shared" si="18"/>
        <v>153</v>
      </c>
      <c r="E95" s="67">
        <f t="shared" si="18"/>
        <v>0</v>
      </c>
      <c r="F95" s="67">
        <f t="shared" si="18"/>
        <v>4038.9</v>
      </c>
      <c r="G95" s="67">
        <f t="shared" si="18"/>
        <v>52.5</v>
      </c>
      <c r="H95" s="67">
        <f t="shared" si="18"/>
        <v>379.4</v>
      </c>
      <c r="I95" s="67">
        <f t="shared" si="18"/>
        <v>0</v>
      </c>
      <c r="J95" s="72">
        <f t="shared" si="18"/>
        <v>0</v>
      </c>
      <c r="K95" s="67">
        <f t="shared" si="18"/>
        <v>36625</v>
      </c>
      <c r="L95" s="72">
        <f t="shared" si="18"/>
        <v>27369.7</v>
      </c>
      <c r="M95" s="67">
        <f t="shared" si="18"/>
        <v>1226.3</v>
      </c>
      <c r="N95" s="67">
        <f t="shared" si="18"/>
        <v>0</v>
      </c>
      <c r="O95" s="67">
        <f t="shared" si="18"/>
        <v>0</v>
      </c>
      <c r="P95" s="67">
        <f t="shared" si="18"/>
        <v>75.8</v>
      </c>
      <c r="Q95" s="67">
        <f t="shared" si="18"/>
        <v>42.1</v>
      </c>
      <c r="R95" s="67">
        <f t="shared" si="18"/>
        <v>121.2</v>
      </c>
      <c r="S95" s="67">
        <f t="shared" si="18"/>
        <v>94.7</v>
      </c>
      <c r="T95" s="67">
        <f t="shared" si="18"/>
        <v>0</v>
      </c>
      <c r="U95" s="67">
        <f t="shared" si="18"/>
        <v>50850.9</v>
      </c>
      <c r="V95" s="67">
        <f t="shared" si="18"/>
        <v>2480.3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123509.8</v>
      </c>
      <c r="AG95" s="71">
        <f>B95+C95-AF95</f>
        <v>17687.520000000004</v>
      </c>
    </row>
    <row r="96" spans="1:33" ht="15.75">
      <c r="A96" s="3" t="s">
        <v>2</v>
      </c>
      <c r="B96" s="22">
        <f aca="true" t="shared" si="19" ref="B96:AD96">B12+B20+B29+B36+B57+B66+B44+B80+B74+B53</f>
        <v>2440.6</v>
      </c>
      <c r="C96" s="109">
        <f t="shared" si="19"/>
        <v>3130.5</v>
      </c>
      <c r="D96" s="67">
        <f t="shared" si="19"/>
        <v>0</v>
      </c>
      <c r="E96" s="67">
        <f t="shared" si="19"/>
        <v>701.5</v>
      </c>
      <c r="F96" s="67">
        <f t="shared" si="19"/>
        <v>6.1</v>
      </c>
      <c r="G96" s="67">
        <f t="shared" si="19"/>
        <v>2.5</v>
      </c>
      <c r="H96" s="67">
        <f t="shared" si="19"/>
        <v>90.7</v>
      </c>
      <c r="I96" s="67">
        <f t="shared" si="19"/>
        <v>76</v>
      </c>
      <c r="J96" s="72">
        <f t="shared" si="19"/>
        <v>165</v>
      </c>
      <c r="K96" s="67">
        <f t="shared" si="19"/>
        <v>33.6</v>
      </c>
      <c r="L96" s="72">
        <f t="shared" si="19"/>
        <v>12.3</v>
      </c>
      <c r="M96" s="67">
        <f t="shared" si="19"/>
        <v>33.699999999999996</v>
      </c>
      <c r="N96" s="67">
        <f t="shared" si="19"/>
        <v>65.4</v>
      </c>
      <c r="O96" s="67">
        <f t="shared" si="19"/>
        <v>34.6</v>
      </c>
      <c r="P96" s="67">
        <f t="shared" si="19"/>
        <v>525.3000000000001</v>
      </c>
      <c r="Q96" s="67">
        <f t="shared" si="19"/>
        <v>124.69999999999999</v>
      </c>
      <c r="R96" s="67">
        <f t="shared" si="19"/>
        <v>112.3</v>
      </c>
      <c r="S96" s="67">
        <f t="shared" si="19"/>
        <v>411.40000000000003</v>
      </c>
      <c r="T96" s="67">
        <f t="shared" si="19"/>
        <v>3.4</v>
      </c>
      <c r="U96" s="67">
        <f t="shared" si="19"/>
        <v>12.100000000000001</v>
      </c>
      <c r="V96" s="67">
        <f t="shared" si="19"/>
        <v>127.3</v>
      </c>
      <c r="W96" s="67">
        <f t="shared" si="19"/>
        <v>-1.1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2536.8000000000006</v>
      </c>
      <c r="AG96" s="71">
        <f>B96+C96-AF96</f>
        <v>3034.2999999999997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13.7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3.4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3.4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3517.2999999999997</v>
      </c>
      <c r="C98" s="109">
        <f t="shared" si="21"/>
        <v>6521.8</v>
      </c>
      <c r="D98" s="67">
        <f t="shared" si="21"/>
        <v>0</v>
      </c>
      <c r="E98" s="67">
        <f t="shared" si="21"/>
        <v>69.8</v>
      </c>
      <c r="F98" s="67">
        <f t="shared" si="21"/>
        <v>0</v>
      </c>
      <c r="G98" s="67">
        <f t="shared" si="21"/>
        <v>5.6</v>
      </c>
      <c r="H98" s="67">
        <f t="shared" si="21"/>
        <v>49.9</v>
      </c>
      <c r="I98" s="67">
        <f t="shared" si="21"/>
        <v>377.2</v>
      </c>
      <c r="J98" s="72">
        <f t="shared" si="21"/>
        <v>4.4</v>
      </c>
      <c r="K98" s="67">
        <f t="shared" si="21"/>
        <v>0</v>
      </c>
      <c r="L98" s="72">
        <f t="shared" si="21"/>
        <v>3.6</v>
      </c>
      <c r="M98" s="67">
        <f t="shared" si="21"/>
        <v>83.3</v>
      </c>
      <c r="N98" s="67">
        <f t="shared" si="21"/>
        <v>52.8</v>
      </c>
      <c r="O98" s="67">
        <f t="shared" si="21"/>
        <v>19.4</v>
      </c>
      <c r="P98" s="67">
        <f t="shared" si="21"/>
        <v>0</v>
      </c>
      <c r="Q98" s="67">
        <f t="shared" si="21"/>
        <v>0</v>
      </c>
      <c r="R98" s="67">
        <f t="shared" si="21"/>
        <v>61.4</v>
      </c>
      <c r="S98" s="67">
        <f t="shared" si="21"/>
        <v>121.7</v>
      </c>
      <c r="T98" s="67">
        <f t="shared" si="21"/>
        <v>79.3</v>
      </c>
      <c r="U98" s="67">
        <f t="shared" si="21"/>
        <v>8.200000000000001</v>
      </c>
      <c r="V98" s="67">
        <f t="shared" si="21"/>
        <v>127</v>
      </c>
      <c r="W98" s="67">
        <f t="shared" si="21"/>
        <v>7.8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1071.3999999999999</v>
      </c>
      <c r="AG98" s="71">
        <f>B98+C98-AF98</f>
        <v>8967.7</v>
      </c>
    </row>
    <row r="99" spans="1:33" ht="15.75">
      <c r="A99" s="3" t="s">
        <v>16</v>
      </c>
      <c r="B99" s="22">
        <f aca="true" t="shared" si="22" ref="B99:X99">B21+B30+B49+B37+B58+B13+B75+B67</f>
        <v>4923.5</v>
      </c>
      <c r="C99" s="109">
        <f t="shared" si="22"/>
        <v>1196.97</v>
      </c>
      <c r="D99" s="67">
        <f t="shared" si="22"/>
        <v>0</v>
      </c>
      <c r="E99" s="67">
        <f t="shared" si="22"/>
        <v>68.9</v>
      </c>
      <c r="F99" s="67">
        <f t="shared" si="22"/>
        <v>1.8</v>
      </c>
      <c r="G99" s="67">
        <f t="shared" si="22"/>
        <v>134.5</v>
      </c>
      <c r="H99" s="67">
        <f t="shared" si="22"/>
        <v>0</v>
      </c>
      <c r="I99" s="67">
        <f t="shared" si="22"/>
        <v>1808.2</v>
      </c>
      <c r="J99" s="72">
        <f t="shared" si="22"/>
        <v>0</v>
      </c>
      <c r="K99" s="67">
        <f t="shared" si="22"/>
        <v>3.7</v>
      </c>
      <c r="L99" s="72">
        <f t="shared" si="22"/>
        <v>110</v>
      </c>
      <c r="M99" s="67">
        <f t="shared" si="22"/>
        <v>680.8000000000001</v>
      </c>
      <c r="N99" s="67">
        <f t="shared" si="22"/>
        <v>0</v>
      </c>
      <c r="O99" s="67">
        <f t="shared" si="22"/>
        <v>0</v>
      </c>
      <c r="P99" s="67">
        <f t="shared" si="22"/>
        <v>206.10000000000002</v>
      </c>
      <c r="Q99" s="67">
        <f t="shared" si="22"/>
        <v>210.3</v>
      </c>
      <c r="R99" s="67">
        <f t="shared" si="22"/>
        <v>416.79999999999995</v>
      </c>
      <c r="S99" s="67">
        <f t="shared" si="22"/>
        <v>0</v>
      </c>
      <c r="T99" s="67">
        <f t="shared" si="22"/>
        <v>8.8</v>
      </c>
      <c r="U99" s="67">
        <f t="shared" si="22"/>
        <v>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3657.9000000000005</v>
      </c>
      <c r="AG99" s="71">
        <f>B99+C99-AF99</f>
        <v>2462.5699999999997</v>
      </c>
    </row>
    <row r="100" spans="1:33" ht="12.75">
      <c r="A100" s="1" t="s">
        <v>35</v>
      </c>
      <c r="B100" s="2">
        <f aca="true" t="shared" si="24" ref="B100:AD100">B94-B95-B96-B97-B98-B99</f>
        <v>82896.68999999999</v>
      </c>
      <c r="C100" s="20">
        <f t="shared" si="24"/>
        <v>112628.62</v>
      </c>
      <c r="D100" s="85">
        <f t="shared" si="24"/>
        <v>4176</v>
      </c>
      <c r="E100" s="85">
        <f t="shared" si="24"/>
        <v>3089.5999999999995</v>
      </c>
      <c r="F100" s="85">
        <f t="shared" si="24"/>
        <v>4490.299999999998</v>
      </c>
      <c r="G100" s="85">
        <f t="shared" si="24"/>
        <v>3314.2000000000003</v>
      </c>
      <c r="H100" s="85">
        <f t="shared" si="24"/>
        <v>2786</v>
      </c>
      <c r="I100" s="85">
        <f t="shared" si="24"/>
        <v>5688.499999999999</v>
      </c>
      <c r="J100" s="131">
        <f t="shared" si="24"/>
        <v>893.6999999999999</v>
      </c>
      <c r="K100" s="85">
        <f t="shared" si="24"/>
        <v>14337.40000000001</v>
      </c>
      <c r="L100" s="131">
        <f t="shared" si="24"/>
        <v>5573.499999999997</v>
      </c>
      <c r="M100" s="85">
        <f t="shared" si="24"/>
        <v>4358.199999999999</v>
      </c>
      <c r="N100" s="85">
        <f t="shared" si="24"/>
        <v>4141.6</v>
      </c>
      <c r="O100" s="85">
        <f t="shared" si="24"/>
        <v>4410.099999999999</v>
      </c>
      <c r="P100" s="85">
        <f t="shared" si="24"/>
        <v>3992.2999999999997</v>
      </c>
      <c r="Q100" s="85">
        <f t="shared" si="24"/>
        <v>12864.499999999998</v>
      </c>
      <c r="R100" s="85">
        <f t="shared" si="24"/>
        <v>4310.600000000001</v>
      </c>
      <c r="S100" s="85">
        <f t="shared" si="24"/>
        <v>4536.700000000001</v>
      </c>
      <c r="T100" s="85">
        <f t="shared" si="24"/>
        <v>13981.000000000002</v>
      </c>
      <c r="U100" s="85">
        <f t="shared" si="24"/>
        <v>23175.099999999988</v>
      </c>
      <c r="V100" s="85">
        <f t="shared" si="24"/>
        <v>2259.699999999999</v>
      </c>
      <c r="W100" s="85">
        <f t="shared" si="24"/>
        <v>1268.7999999999997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123647.79999999996</v>
      </c>
      <c r="AG100" s="85">
        <f>AG94-AG95-AG96-AG97-AG98-AG99</f>
        <v>71877.50999999998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72" sqref="B7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66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19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25658</v>
      </c>
      <c r="C7" s="129">
        <v>9399.550000000014</v>
      </c>
      <c r="D7" s="38"/>
      <c r="E7" s="38">
        <v>12829</v>
      </c>
      <c r="F7" s="38"/>
      <c r="G7" s="38"/>
      <c r="H7" s="56"/>
      <c r="I7" s="38"/>
      <c r="J7" s="39"/>
      <c r="K7" s="38">
        <v>12829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17602.750000000015</v>
      </c>
      <c r="AF7" s="54"/>
      <c r="AG7" s="40"/>
    </row>
    <row r="8" spans="1:55" ht="18" customHeight="1">
      <c r="A8" s="47" t="s">
        <v>30</v>
      </c>
      <c r="B8" s="33">
        <f>SUM(E8:AB8)</f>
        <v>129174.30000000003</v>
      </c>
      <c r="C8" s="103">
        <v>101164.67000000007</v>
      </c>
      <c r="D8" s="59">
        <v>16148.5</v>
      </c>
      <c r="E8" s="60">
        <v>3795.9</v>
      </c>
      <c r="F8" s="137">
        <v>3366.1</v>
      </c>
      <c r="G8" s="137">
        <v>3089.3</v>
      </c>
      <c r="H8" s="137">
        <v>6981.7</v>
      </c>
      <c r="I8" s="137">
        <v>14867.5</v>
      </c>
      <c r="J8" s="138">
        <v>4354.6</v>
      </c>
      <c r="K8" s="138">
        <v>3193.4</v>
      </c>
      <c r="L8" s="138">
        <v>2843.5</v>
      </c>
      <c r="M8" s="137">
        <v>3863</v>
      </c>
      <c r="N8" s="137">
        <v>9444.8</v>
      </c>
      <c r="O8" s="137">
        <v>5945.9</v>
      </c>
      <c r="P8" s="137">
        <v>3828.9</v>
      </c>
      <c r="Q8" s="137">
        <v>4502.1</v>
      </c>
      <c r="R8" s="137">
        <v>6418.6</v>
      </c>
      <c r="S8" s="63">
        <v>12087</v>
      </c>
      <c r="T8" s="63">
        <v>4484.6</v>
      </c>
      <c r="U8" s="61">
        <v>3995</v>
      </c>
      <c r="V8" s="61">
        <v>2960.1</v>
      </c>
      <c r="W8" s="61">
        <v>7240.8</v>
      </c>
      <c r="X8" s="62">
        <v>10281.4</v>
      </c>
      <c r="Y8" s="62">
        <v>11630.1</v>
      </c>
      <c r="Z8" s="62"/>
      <c r="AA8" s="62"/>
      <c r="AB8" s="61"/>
      <c r="AC8" s="64"/>
      <c r="AD8" s="64"/>
      <c r="AE8" s="65">
        <f>SUM(D8:AD8)+C8-AF9+AF16+AF25</f>
        <v>131585.37000000005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172033.74549</v>
      </c>
      <c r="C9" s="104">
        <f aca="true" t="shared" si="0" ref="C9:AD9">C10+C15+C24+C33+C47+C52+C54+C61+C62+C71+C72+C88+C76+C81+C83+C82+C69+C89+C90+C91+C70+C40+C92</f>
        <v>104190.64999999998</v>
      </c>
      <c r="D9" s="68">
        <f t="shared" si="0"/>
        <v>652.1999999999999</v>
      </c>
      <c r="E9" s="68">
        <f t="shared" si="0"/>
        <v>3657.8999999999996</v>
      </c>
      <c r="F9" s="68">
        <f t="shared" si="0"/>
        <v>3803.1000000000004</v>
      </c>
      <c r="G9" s="68">
        <f t="shared" si="0"/>
        <v>6459</v>
      </c>
      <c r="H9" s="68">
        <f t="shared" si="0"/>
        <v>3263.7000000000003</v>
      </c>
      <c r="I9" s="68">
        <f t="shared" si="0"/>
        <v>2431.0000000000005</v>
      </c>
      <c r="J9" s="104">
        <f t="shared" si="0"/>
        <v>6228</v>
      </c>
      <c r="K9" s="68">
        <f t="shared" si="0"/>
        <v>13418.9</v>
      </c>
      <c r="L9" s="104">
        <f>L10+L15+L24+L33+L47+L52+L54+L61+L62+L71+L72+L88+L76+L81+L83+L82+L69+L89+L90+L91+L70+L40+L92</f>
        <v>15494.6</v>
      </c>
      <c r="M9" s="68">
        <f t="shared" si="0"/>
        <v>9703.400000000001</v>
      </c>
      <c r="N9" s="68">
        <f t="shared" si="0"/>
        <v>4805.5999999999985</v>
      </c>
      <c r="O9" s="68">
        <f t="shared" si="0"/>
        <v>1441.7000000000003</v>
      </c>
      <c r="P9" s="68">
        <f t="shared" si="0"/>
        <v>6120</v>
      </c>
      <c r="Q9" s="68">
        <f t="shared" si="0"/>
        <v>2462.6000000000004</v>
      </c>
      <c r="R9" s="68">
        <f t="shared" si="0"/>
        <v>3874.6</v>
      </c>
      <c r="S9" s="68">
        <f t="shared" si="0"/>
        <v>298.09999999999997</v>
      </c>
      <c r="T9" s="68">
        <f t="shared" si="0"/>
        <v>1177.1999999999998</v>
      </c>
      <c r="U9" s="68">
        <f t="shared" si="0"/>
        <v>3175.6000000000004</v>
      </c>
      <c r="V9" s="68">
        <f t="shared" si="0"/>
        <v>20566.3</v>
      </c>
      <c r="W9" s="68">
        <f t="shared" si="0"/>
        <v>19935.2</v>
      </c>
      <c r="X9" s="68">
        <f t="shared" si="0"/>
        <v>2215.1</v>
      </c>
      <c r="Y9" s="68">
        <f t="shared" si="0"/>
        <v>1173.1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132356.90000000002</v>
      </c>
      <c r="AG9" s="69">
        <f>AG10+AG15+AG24+AG33+AG47+AG52+AG54+AG61+AG62+AG71+AG72+AG76+AG88+AG81+AG83+AG82+AG69+AG89+AG91+AG90+AG70+AG40+AG92</f>
        <v>143867.49548999997</v>
      </c>
      <c r="AH9" s="41"/>
      <c r="AI9" s="41"/>
    </row>
    <row r="10" spans="1:34" ht="15.75">
      <c r="A10" s="4" t="s">
        <v>4</v>
      </c>
      <c r="B10" s="72">
        <v>18209.9</v>
      </c>
      <c r="C10" s="72">
        <v>4950.100000000002</v>
      </c>
      <c r="D10" s="67">
        <f>635.4-0.5</f>
        <v>634.9</v>
      </c>
      <c r="E10" s="67">
        <v>322.5</v>
      </c>
      <c r="F10" s="67">
        <v>214.5</v>
      </c>
      <c r="G10" s="67">
        <v>108.9</v>
      </c>
      <c r="H10" s="67">
        <v>144.4</v>
      </c>
      <c r="I10" s="67">
        <v>27.6</v>
      </c>
      <c r="J10" s="70">
        <v>727.7</v>
      </c>
      <c r="K10" s="67">
        <v>3006</v>
      </c>
      <c r="L10" s="72">
        <v>2574.2</v>
      </c>
      <c r="M10" s="67">
        <v>0.9</v>
      </c>
      <c r="N10" s="67">
        <v>10.4</v>
      </c>
      <c r="O10" s="71">
        <v>54.6</v>
      </c>
      <c r="P10" s="67">
        <v>152.2</v>
      </c>
      <c r="Q10" s="67">
        <v>203.5</v>
      </c>
      <c r="R10" s="67">
        <v>3.5</v>
      </c>
      <c r="S10" s="72">
        <v>78.3</v>
      </c>
      <c r="T10" s="72">
        <v>1.5</v>
      </c>
      <c r="U10" s="72">
        <v>60.6</v>
      </c>
      <c r="V10" s="72">
        <v>3414.2</v>
      </c>
      <c r="W10" s="72">
        <v>5016.1</v>
      </c>
      <c r="X10" s="67">
        <v>1346.4</v>
      </c>
      <c r="Y10" s="71"/>
      <c r="Z10" s="72"/>
      <c r="AA10" s="72"/>
      <c r="AB10" s="67"/>
      <c r="AC10" s="67"/>
      <c r="AD10" s="67"/>
      <c r="AE10" s="67"/>
      <c r="AF10" s="67">
        <f>SUM(D10:AD10)</f>
        <v>18102.9</v>
      </c>
      <c r="AG10" s="72">
        <f>B10+C10-AF10</f>
        <v>5057.100000000002</v>
      </c>
      <c r="AH10" s="18"/>
    </row>
    <row r="11" spans="1:34" ht="15.75">
      <c r="A11" s="3" t="s">
        <v>5</v>
      </c>
      <c r="B11" s="72">
        <f>17148.9+260-48.3+22+123</f>
        <v>17505.600000000002</v>
      </c>
      <c r="C11" s="72">
        <v>2279.119999999999</v>
      </c>
      <c r="D11" s="67">
        <v>634.9</v>
      </c>
      <c r="E11" s="67">
        <v>280.2</v>
      </c>
      <c r="F11" s="67">
        <v>118.6</v>
      </c>
      <c r="G11" s="67"/>
      <c r="H11" s="67">
        <v>104.1</v>
      </c>
      <c r="I11" s="67"/>
      <c r="J11" s="72">
        <v>709.5</v>
      </c>
      <c r="K11" s="67">
        <v>2940.2</v>
      </c>
      <c r="L11" s="72">
        <v>2536.7</v>
      </c>
      <c r="M11" s="67"/>
      <c r="N11" s="67"/>
      <c r="O11" s="71">
        <v>27.1</v>
      </c>
      <c r="P11" s="67">
        <v>148.3</v>
      </c>
      <c r="Q11" s="67">
        <v>134.2</v>
      </c>
      <c r="R11" s="67"/>
      <c r="S11" s="72"/>
      <c r="T11" s="72"/>
      <c r="U11" s="72"/>
      <c r="V11" s="72">
        <v>3266</v>
      </c>
      <c r="W11" s="72">
        <v>4991.3</v>
      </c>
      <c r="X11" s="67">
        <v>1345.8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17236.899999999998</v>
      </c>
      <c r="AG11" s="72">
        <f>B11+C11-AF11</f>
        <v>2547.8200000000033</v>
      </c>
      <c r="AH11" s="18"/>
    </row>
    <row r="12" spans="1:34" ht="15.75">
      <c r="A12" s="3" t="s">
        <v>2</v>
      </c>
      <c r="B12" s="70">
        <v>98.1</v>
      </c>
      <c r="C12" s="72">
        <v>269.7</v>
      </c>
      <c r="D12" s="67"/>
      <c r="E12" s="67"/>
      <c r="F12" s="67">
        <v>5.5</v>
      </c>
      <c r="G12" s="67"/>
      <c r="H12" s="67"/>
      <c r="I12" s="67"/>
      <c r="J12" s="72"/>
      <c r="K12" s="67">
        <v>20.1</v>
      </c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>
        <v>46.6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73.1</v>
      </c>
      <c r="AG12" s="72">
        <f>B12+C12-AF12</f>
        <v>294.69999999999993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606.1999999999992</v>
      </c>
      <c r="C14" s="72">
        <f t="shared" si="2"/>
        <v>2401.2800000000034</v>
      </c>
      <c r="D14" s="67">
        <f t="shared" si="2"/>
        <v>0</v>
      </c>
      <c r="E14" s="67">
        <f t="shared" si="2"/>
        <v>42.30000000000001</v>
      </c>
      <c r="F14" s="67">
        <f t="shared" si="2"/>
        <v>90.4</v>
      </c>
      <c r="G14" s="67">
        <f t="shared" si="2"/>
        <v>108.9</v>
      </c>
      <c r="H14" s="67">
        <f t="shared" si="2"/>
        <v>40.30000000000001</v>
      </c>
      <c r="I14" s="67">
        <f t="shared" si="2"/>
        <v>27.6</v>
      </c>
      <c r="J14" s="72">
        <f t="shared" si="2"/>
        <v>18.200000000000045</v>
      </c>
      <c r="K14" s="67">
        <f t="shared" si="2"/>
        <v>45.70000000000018</v>
      </c>
      <c r="L14" s="72">
        <f t="shared" si="2"/>
        <v>37.5</v>
      </c>
      <c r="M14" s="67">
        <f t="shared" si="2"/>
        <v>0</v>
      </c>
      <c r="N14" s="67">
        <f t="shared" si="2"/>
        <v>10.4</v>
      </c>
      <c r="O14" s="67">
        <f t="shared" si="2"/>
        <v>27.5</v>
      </c>
      <c r="P14" s="67">
        <f t="shared" si="2"/>
        <v>3.8999999999999773</v>
      </c>
      <c r="Q14" s="67">
        <f t="shared" si="2"/>
        <v>69.30000000000001</v>
      </c>
      <c r="R14" s="67">
        <f t="shared" si="2"/>
        <v>3.5</v>
      </c>
      <c r="S14" s="67">
        <f t="shared" si="2"/>
        <v>78.3</v>
      </c>
      <c r="T14" s="67">
        <f t="shared" si="2"/>
        <v>1.5</v>
      </c>
      <c r="U14" s="67">
        <f t="shared" si="2"/>
        <v>14</v>
      </c>
      <c r="V14" s="67">
        <f t="shared" si="2"/>
        <v>148.19999999999982</v>
      </c>
      <c r="W14" s="67">
        <f t="shared" si="2"/>
        <v>24.800000000000182</v>
      </c>
      <c r="X14" s="67">
        <f t="shared" si="2"/>
        <v>0.6000000000001364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792.9000000000003</v>
      </c>
      <c r="AG14" s="72">
        <f>AG10-AG11-AG12-AG13</f>
        <v>2214.579999999999</v>
      </c>
      <c r="AH14" s="18"/>
    </row>
    <row r="15" spans="1:35" ht="15" customHeight="1">
      <c r="A15" s="4" t="s">
        <v>6</v>
      </c>
      <c r="B15" s="72">
        <v>38664.6</v>
      </c>
      <c r="C15" s="72">
        <v>32135.600000000006</v>
      </c>
      <c r="D15" s="73"/>
      <c r="E15" s="73">
        <f>1748.2+179.9</f>
        <v>1928.1000000000001</v>
      </c>
      <c r="F15" s="67"/>
      <c r="G15" s="67">
        <v>491.9</v>
      </c>
      <c r="H15" s="67">
        <v>261.6</v>
      </c>
      <c r="I15" s="67">
        <v>360.8</v>
      </c>
      <c r="J15" s="72">
        <v>4.6</v>
      </c>
      <c r="K15" s="67">
        <f>9436.7+764</f>
        <v>10200.7</v>
      </c>
      <c r="L15" s="72">
        <v>333</v>
      </c>
      <c r="M15" s="67">
        <v>923.3</v>
      </c>
      <c r="N15" s="67">
        <v>3162.4</v>
      </c>
      <c r="O15" s="71">
        <v>23.8</v>
      </c>
      <c r="P15" s="67"/>
      <c r="Q15" s="71">
        <v>747.2</v>
      </c>
      <c r="R15" s="67">
        <v>396.8</v>
      </c>
      <c r="S15" s="72">
        <v>17.7</v>
      </c>
      <c r="T15" s="72">
        <v>154</v>
      </c>
      <c r="U15" s="72">
        <v>1415.7</v>
      </c>
      <c r="V15" s="72">
        <v>10486.3</v>
      </c>
      <c r="W15" s="72">
        <v>120.4</v>
      </c>
      <c r="X15" s="67">
        <v>12</v>
      </c>
      <c r="Y15" s="72"/>
      <c r="Z15" s="72"/>
      <c r="AA15" s="72"/>
      <c r="AB15" s="67"/>
      <c r="AC15" s="67"/>
      <c r="AD15" s="67"/>
      <c r="AE15" s="67"/>
      <c r="AF15" s="71">
        <f t="shared" si="1"/>
        <v>31040.300000000003</v>
      </c>
      <c r="AG15" s="72">
        <f aca="true" t="shared" si="3" ref="AG15:AG31">B15+C15-AF15</f>
        <v>39759.90000000001</v>
      </c>
      <c r="AH15" s="18"/>
      <c r="AI15" s="86"/>
    </row>
    <row r="16" spans="1:34" s="53" customFormat="1" ht="15" customHeight="1">
      <c r="A16" s="51" t="s">
        <v>38</v>
      </c>
      <c r="B16" s="76">
        <v>9963.4</v>
      </c>
      <c r="C16" s="76">
        <v>3497.5999999999985</v>
      </c>
      <c r="D16" s="74"/>
      <c r="E16" s="74">
        <v>179.9</v>
      </c>
      <c r="F16" s="75"/>
      <c r="G16" s="75"/>
      <c r="H16" s="75"/>
      <c r="I16" s="75"/>
      <c r="J16" s="76"/>
      <c r="K16" s="75">
        <v>764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816.4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1760.3</v>
      </c>
      <c r="AG16" s="115">
        <f t="shared" si="3"/>
        <v>11700.699999999999</v>
      </c>
      <c r="AH16" s="116"/>
    </row>
    <row r="17" spans="1:34" ht="15.75">
      <c r="A17" s="3" t="s">
        <v>5</v>
      </c>
      <c r="B17" s="72">
        <v>33008.92</v>
      </c>
      <c r="C17" s="72">
        <v>13713.399999999994</v>
      </c>
      <c r="D17" s="67"/>
      <c r="E17" s="67">
        <f>1748.2+179.9</f>
        <v>1928.1000000000001</v>
      </c>
      <c r="F17" s="67"/>
      <c r="G17" s="67"/>
      <c r="H17" s="67"/>
      <c r="I17" s="67"/>
      <c r="J17" s="72"/>
      <c r="K17" s="67">
        <f>9436.7+764</f>
        <v>10200.7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v>10205.6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22334.4</v>
      </c>
      <c r="AG17" s="72">
        <f t="shared" si="3"/>
        <v>24387.91999999999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v>1010.8</v>
      </c>
      <c r="C19" s="72">
        <v>8728.1</v>
      </c>
      <c r="D19" s="67"/>
      <c r="E19" s="67"/>
      <c r="F19" s="67"/>
      <c r="G19" s="67">
        <v>66.6</v>
      </c>
      <c r="H19" s="67"/>
      <c r="I19" s="67"/>
      <c r="J19" s="72"/>
      <c r="K19" s="67"/>
      <c r="L19" s="72"/>
      <c r="M19" s="67">
        <v>594.1</v>
      </c>
      <c r="N19" s="67">
        <v>2621.2</v>
      </c>
      <c r="O19" s="71"/>
      <c r="P19" s="67"/>
      <c r="Q19" s="71">
        <v>74.9</v>
      </c>
      <c r="R19" s="67"/>
      <c r="S19" s="72"/>
      <c r="T19" s="72"/>
      <c r="U19" s="72"/>
      <c r="V19" s="72">
        <v>4.9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3361.7</v>
      </c>
      <c r="AG19" s="72">
        <f t="shared" si="3"/>
        <v>6377.2</v>
      </c>
      <c r="AH19" s="18"/>
    </row>
    <row r="20" spans="1:34" ht="15.75">
      <c r="A20" s="3" t="s">
        <v>2</v>
      </c>
      <c r="B20" s="72">
        <v>826.65</v>
      </c>
      <c r="C20" s="72">
        <v>1308.7999999999997</v>
      </c>
      <c r="D20" s="67"/>
      <c r="E20" s="67"/>
      <c r="F20" s="67"/>
      <c r="G20" s="67">
        <v>52.2</v>
      </c>
      <c r="H20" s="67">
        <v>29.8</v>
      </c>
      <c r="I20" s="67">
        <v>4.4</v>
      </c>
      <c r="J20" s="72"/>
      <c r="K20" s="67"/>
      <c r="L20" s="72">
        <v>265.7</v>
      </c>
      <c r="M20" s="67">
        <v>13.7</v>
      </c>
      <c r="N20" s="67">
        <v>1.8</v>
      </c>
      <c r="O20" s="71">
        <v>14.9</v>
      </c>
      <c r="P20" s="67"/>
      <c r="Q20" s="71">
        <v>105.3</v>
      </c>
      <c r="R20" s="67">
        <v>347.5</v>
      </c>
      <c r="S20" s="72">
        <v>13.9</v>
      </c>
      <c r="T20" s="72">
        <v>4.3</v>
      </c>
      <c r="U20" s="72">
        <v>12.8</v>
      </c>
      <c r="V20" s="72">
        <v>163.5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1029.7999999999997</v>
      </c>
      <c r="AG20" s="72">
        <f t="shared" si="3"/>
        <v>1105.65</v>
      </c>
      <c r="AH20" s="18"/>
    </row>
    <row r="21" spans="1:34" ht="15.75">
      <c r="A21" s="3" t="s">
        <v>16</v>
      </c>
      <c r="B21" s="72">
        <v>988.4</v>
      </c>
      <c r="C21" s="72">
        <v>52</v>
      </c>
      <c r="D21" s="67"/>
      <c r="E21" s="67"/>
      <c r="F21" s="67"/>
      <c r="G21" s="67">
        <f>120.2+11</f>
        <v>131.2</v>
      </c>
      <c r="H21" s="67"/>
      <c r="I21" s="67"/>
      <c r="J21" s="72"/>
      <c r="K21" s="67"/>
      <c r="L21" s="72"/>
      <c r="M21" s="67">
        <f>238.1+77.3</f>
        <v>315.4</v>
      </c>
      <c r="N21" s="67"/>
      <c r="O21" s="71"/>
      <c r="P21" s="67"/>
      <c r="Q21" s="71">
        <f>88.4+90.7</f>
        <v>179.10000000000002</v>
      </c>
      <c r="R21" s="67"/>
      <c r="S21" s="72"/>
      <c r="T21" s="72">
        <v>143.6</v>
      </c>
      <c r="U21" s="67">
        <v>33.1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802.4000000000001</v>
      </c>
      <c r="AG21" s="72">
        <f t="shared" si="3"/>
        <v>238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2829.83</v>
      </c>
      <c r="C23" s="72">
        <f t="shared" si="4"/>
        <v>8323.800000000012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241.89999999999998</v>
      </c>
      <c r="H23" s="67">
        <f t="shared" si="4"/>
        <v>231.8</v>
      </c>
      <c r="I23" s="67">
        <f t="shared" si="4"/>
        <v>356.40000000000003</v>
      </c>
      <c r="J23" s="72">
        <f t="shared" si="4"/>
        <v>4.6</v>
      </c>
      <c r="K23" s="67">
        <f t="shared" si="4"/>
        <v>0</v>
      </c>
      <c r="L23" s="72">
        <f t="shared" si="4"/>
        <v>67.30000000000001</v>
      </c>
      <c r="M23" s="67">
        <f t="shared" si="4"/>
        <v>0.0999999999999659</v>
      </c>
      <c r="N23" s="67">
        <f t="shared" si="4"/>
        <v>539.4000000000003</v>
      </c>
      <c r="O23" s="67">
        <f t="shared" si="4"/>
        <v>8.9</v>
      </c>
      <c r="P23" s="67">
        <f t="shared" si="4"/>
        <v>0</v>
      </c>
      <c r="Q23" s="67">
        <f t="shared" si="4"/>
        <v>387.9000000000001</v>
      </c>
      <c r="R23" s="67">
        <f t="shared" si="4"/>
        <v>49.30000000000001</v>
      </c>
      <c r="S23" s="67">
        <f t="shared" si="4"/>
        <v>3.799999999999999</v>
      </c>
      <c r="T23" s="67">
        <f t="shared" si="4"/>
        <v>6.099999999999994</v>
      </c>
      <c r="U23" s="67">
        <f t="shared" si="4"/>
        <v>1369.8000000000002</v>
      </c>
      <c r="V23" s="67">
        <f t="shared" si="4"/>
        <v>112.29999999999893</v>
      </c>
      <c r="W23" s="67">
        <f t="shared" si="4"/>
        <v>120.4</v>
      </c>
      <c r="X23" s="67">
        <f t="shared" si="4"/>
        <v>12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3511.999999999999</v>
      </c>
      <c r="AG23" s="72">
        <f>B23+C23-AF23</f>
        <v>7641.630000000013</v>
      </c>
      <c r="AH23" s="18"/>
    </row>
    <row r="24" spans="1:35" ht="15" customHeight="1">
      <c r="A24" s="4" t="s">
        <v>7</v>
      </c>
      <c r="B24" s="72">
        <v>35172.5</v>
      </c>
      <c r="C24" s="72">
        <v>7358.999999999985</v>
      </c>
      <c r="D24" s="67"/>
      <c r="E24" s="67"/>
      <c r="F24" s="67">
        <v>5.5</v>
      </c>
      <c r="G24" s="67"/>
      <c r="H24" s="67"/>
      <c r="I24" s="67">
        <f>990.7+759.8</f>
        <v>1750.5</v>
      </c>
      <c r="J24" s="72">
        <v>0.1</v>
      </c>
      <c r="K24" s="67"/>
      <c r="L24" s="72">
        <f>513.6+9223.7</f>
        <v>9737.300000000001</v>
      </c>
      <c r="M24" s="67">
        <f>482.3+471.7</f>
        <v>954</v>
      </c>
      <c r="N24" s="67">
        <v>91.5</v>
      </c>
      <c r="O24" s="71"/>
      <c r="P24" s="67">
        <v>98.7</v>
      </c>
      <c r="Q24" s="71">
        <v>181.5</v>
      </c>
      <c r="R24" s="71">
        <v>1347.7</v>
      </c>
      <c r="S24" s="72">
        <v>130.7</v>
      </c>
      <c r="T24" s="72"/>
      <c r="U24" s="72"/>
      <c r="V24" s="72">
        <v>313.8</v>
      </c>
      <c r="W24" s="72">
        <v>13323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27934.300000000003</v>
      </c>
      <c r="AG24" s="72">
        <f>B24+C24-AF24</f>
        <v>14597.199999999983</v>
      </c>
      <c r="AI24" s="86"/>
    </row>
    <row r="25" spans="1:35" s="117" customFormat="1" ht="15" customHeight="1">
      <c r="A25" s="113" t="s">
        <v>39</v>
      </c>
      <c r="B25" s="76">
        <v>15694.5</v>
      </c>
      <c r="C25" s="76">
        <v>308.09999999999854</v>
      </c>
      <c r="D25" s="76"/>
      <c r="E25" s="76"/>
      <c r="F25" s="76"/>
      <c r="G25" s="76"/>
      <c r="H25" s="76"/>
      <c r="I25" s="76">
        <v>759.8</v>
      </c>
      <c r="J25" s="76"/>
      <c r="K25" s="76"/>
      <c r="L25" s="76">
        <v>9223.7</v>
      </c>
      <c r="M25" s="76">
        <v>471.7</v>
      </c>
      <c r="N25" s="76"/>
      <c r="O25" s="76"/>
      <c r="P25" s="76">
        <v>98.7</v>
      </c>
      <c r="Q25" s="76">
        <v>181.5</v>
      </c>
      <c r="R25" s="76">
        <v>703.8</v>
      </c>
      <c r="S25" s="76">
        <v>66.7</v>
      </c>
      <c r="T25" s="76"/>
      <c r="U25" s="76"/>
      <c r="V25" s="76">
        <v>294.4</v>
      </c>
      <c r="W25" s="76">
        <v>3894.2</v>
      </c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15694.5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35172.5</v>
      </c>
      <c r="C32" s="72">
        <f>C24</f>
        <v>7358.999999999985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5.5</v>
      </c>
      <c r="G32" s="67">
        <f t="shared" si="5"/>
        <v>0</v>
      </c>
      <c r="H32" s="67">
        <f t="shared" si="5"/>
        <v>0</v>
      </c>
      <c r="I32" s="67">
        <f t="shared" si="5"/>
        <v>1750.5</v>
      </c>
      <c r="J32" s="72">
        <f t="shared" si="5"/>
        <v>0.1</v>
      </c>
      <c r="K32" s="67">
        <f t="shared" si="5"/>
        <v>0</v>
      </c>
      <c r="L32" s="72">
        <f t="shared" si="5"/>
        <v>9737.300000000001</v>
      </c>
      <c r="M32" s="67">
        <f t="shared" si="5"/>
        <v>954</v>
      </c>
      <c r="N32" s="67">
        <f t="shared" si="5"/>
        <v>91.5</v>
      </c>
      <c r="O32" s="67">
        <f t="shared" si="5"/>
        <v>0</v>
      </c>
      <c r="P32" s="67">
        <f t="shared" si="5"/>
        <v>98.7</v>
      </c>
      <c r="Q32" s="67">
        <f t="shared" si="5"/>
        <v>181.5</v>
      </c>
      <c r="R32" s="67">
        <f t="shared" si="5"/>
        <v>1347.7</v>
      </c>
      <c r="S32" s="67">
        <f t="shared" si="5"/>
        <v>130.7</v>
      </c>
      <c r="T32" s="67">
        <f t="shared" si="5"/>
        <v>0</v>
      </c>
      <c r="U32" s="67">
        <f t="shared" si="5"/>
        <v>0</v>
      </c>
      <c r="V32" s="67">
        <f t="shared" si="5"/>
        <v>313.8</v>
      </c>
      <c r="W32" s="67">
        <f t="shared" si="5"/>
        <v>13323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27934.300000000003</v>
      </c>
      <c r="AG32" s="72">
        <f>AG24</f>
        <v>14597.199999999983</v>
      </c>
    </row>
    <row r="33" spans="1:33" s="145" customFormat="1" ht="15" customHeight="1">
      <c r="A33" s="143" t="s">
        <v>8</v>
      </c>
      <c r="B33" s="144">
        <v>2206</v>
      </c>
      <c r="C33" s="144">
        <v>1923.49</v>
      </c>
      <c r="D33" s="144"/>
      <c r="E33" s="144"/>
      <c r="F33" s="144"/>
      <c r="G33" s="144"/>
      <c r="H33" s="144"/>
      <c r="I33" s="144"/>
      <c r="J33" s="144">
        <v>50</v>
      </c>
      <c r="K33" s="144"/>
      <c r="L33" s="144">
        <v>85.8</v>
      </c>
      <c r="M33" s="144"/>
      <c r="N33" s="144">
        <v>1.8</v>
      </c>
      <c r="O33" s="144"/>
      <c r="P33" s="144">
        <v>136</v>
      </c>
      <c r="Q33" s="144"/>
      <c r="R33" s="144"/>
      <c r="S33" s="144"/>
      <c r="T33" s="144">
        <v>93.7</v>
      </c>
      <c r="U33" s="144">
        <f>2.7</f>
        <v>2.7</v>
      </c>
      <c r="V33" s="144">
        <v>167.9</v>
      </c>
      <c r="W33" s="144"/>
      <c r="X33" s="144">
        <v>8.7</v>
      </c>
      <c r="Y33" s="144"/>
      <c r="Z33" s="144"/>
      <c r="AA33" s="144"/>
      <c r="AB33" s="144"/>
      <c r="AC33" s="144"/>
      <c r="AD33" s="144"/>
      <c r="AE33" s="144"/>
      <c r="AF33" s="144">
        <f t="shared" si="1"/>
        <v>546.6</v>
      </c>
      <c r="AG33" s="144">
        <f aca="true" t="shared" si="6" ref="AG33:AG38">B33+C33-AF33</f>
        <v>3582.89</v>
      </c>
    </row>
    <row r="34" spans="1:33" s="145" customFormat="1" ht="15.75">
      <c r="A34" s="146" t="s">
        <v>5</v>
      </c>
      <c r="B34" s="144">
        <v>283.62</v>
      </c>
      <c r="C34" s="144">
        <v>55.69999999999999</v>
      </c>
      <c r="D34" s="144"/>
      <c r="E34" s="144"/>
      <c r="F34" s="144"/>
      <c r="G34" s="144"/>
      <c r="H34" s="144"/>
      <c r="I34" s="144"/>
      <c r="J34" s="144"/>
      <c r="K34" s="144"/>
      <c r="L34" s="144">
        <v>83.9</v>
      </c>
      <c r="M34" s="144"/>
      <c r="N34" s="144"/>
      <c r="O34" s="144"/>
      <c r="P34" s="144"/>
      <c r="Q34" s="144"/>
      <c r="R34" s="144"/>
      <c r="S34" s="144"/>
      <c r="T34" s="144"/>
      <c r="U34" s="144"/>
      <c r="V34" s="144">
        <v>167.9</v>
      </c>
      <c r="W34" s="144"/>
      <c r="X34" s="144"/>
      <c r="Y34" s="144"/>
      <c r="Z34" s="144"/>
      <c r="AA34" s="144"/>
      <c r="AB34" s="144"/>
      <c r="AC34" s="144"/>
      <c r="AD34" s="144"/>
      <c r="AE34" s="144"/>
      <c r="AF34" s="144">
        <f t="shared" si="1"/>
        <v>251.8</v>
      </c>
      <c r="AG34" s="144">
        <f t="shared" si="6"/>
        <v>87.51999999999998</v>
      </c>
    </row>
    <row r="35" spans="1:33" s="145" customFormat="1" ht="15.75">
      <c r="A35" s="146" t="s">
        <v>1</v>
      </c>
      <c r="B35" s="144">
        <v>97.486</v>
      </c>
      <c r="C35" s="144">
        <v>168.59999999999997</v>
      </c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>
        <v>93.7</v>
      </c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>
        <f t="shared" si="1"/>
        <v>93.7</v>
      </c>
      <c r="AG35" s="144">
        <f t="shared" si="6"/>
        <v>172.38599999999997</v>
      </c>
    </row>
    <row r="36" spans="1:33" s="145" customFormat="1" ht="15.75">
      <c r="A36" s="146" t="s">
        <v>2</v>
      </c>
      <c r="B36" s="147">
        <v>3</v>
      </c>
      <c r="C36" s="144">
        <v>17.7</v>
      </c>
      <c r="D36" s="144"/>
      <c r="E36" s="144"/>
      <c r="F36" s="144"/>
      <c r="G36" s="144"/>
      <c r="H36" s="144"/>
      <c r="I36" s="144"/>
      <c r="J36" s="144"/>
      <c r="K36" s="144"/>
      <c r="L36" s="144">
        <v>0.1</v>
      </c>
      <c r="M36" s="144"/>
      <c r="N36" s="144"/>
      <c r="O36" s="144"/>
      <c r="P36" s="144"/>
      <c r="Q36" s="144"/>
      <c r="R36" s="144"/>
      <c r="S36" s="144"/>
      <c r="T36" s="144"/>
      <c r="U36" s="144">
        <v>2.2</v>
      </c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>
        <f t="shared" si="1"/>
        <v>2.3000000000000003</v>
      </c>
      <c r="AG36" s="144">
        <f t="shared" si="6"/>
        <v>18.4</v>
      </c>
    </row>
    <row r="37" spans="1:33" s="145" customFormat="1" ht="15.75">
      <c r="A37" s="146" t="s">
        <v>16</v>
      </c>
      <c r="B37" s="144">
        <v>1496.964</v>
      </c>
      <c r="C37" s="144">
        <v>1633.1</v>
      </c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>
        <v>136</v>
      </c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>
        <f t="shared" si="1"/>
        <v>136</v>
      </c>
      <c r="AG37" s="144">
        <f t="shared" si="6"/>
        <v>2994.064</v>
      </c>
    </row>
    <row r="38" spans="1:33" s="145" customFormat="1" ht="15.75" hidden="1">
      <c r="A38" s="146" t="s">
        <v>15</v>
      </c>
      <c r="B38" s="144"/>
      <c r="C38" s="144">
        <v>0</v>
      </c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>
        <f t="shared" si="1"/>
        <v>0</v>
      </c>
      <c r="AG38" s="144">
        <f t="shared" si="6"/>
        <v>0</v>
      </c>
    </row>
    <row r="39" spans="1:33" s="145" customFormat="1" ht="15.75">
      <c r="A39" s="146" t="s">
        <v>23</v>
      </c>
      <c r="B39" s="144">
        <f aca="true" t="shared" si="7" ref="B39:AD39">B33-B34-B36-B38-B37-B35</f>
        <v>324.9300000000002</v>
      </c>
      <c r="C39" s="144">
        <f t="shared" si="7"/>
        <v>48.39000000000004</v>
      </c>
      <c r="D39" s="144">
        <f t="shared" si="7"/>
        <v>0</v>
      </c>
      <c r="E39" s="144">
        <f t="shared" si="7"/>
        <v>0</v>
      </c>
      <c r="F39" s="144">
        <f t="shared" si="7"/>
        <v>0</v>
      </c>
      <c r="G39" s="144">
        <f t="shared" si="7"/>
        <v>0</v>
      </c>
      <c r="H39" s="144">
        <f t="shared" si="7"/>
        <v>0</v>
      </c>
      <c r="I39" s="144">
        <f t="shared" si="7"/>
        <v>0</v>
      </c>
      <c r="J39" s="144">
        <f t="shared" si="7"/>
        <v>50</v>
      </c>
      <c r="K39" s="144">
        <f t="shared" si="7"/>
        <v>0</v>
      </c>
      <c r="L39" s="144">
        <f t="shared" si="7"/>
        <v>1.7999999999999914</v>
      </c>
      <c r="M39" s="144">
        <f t="shared" si="7"/>
        <v>0</v>
      </c>
      <c r="N39" s="144">
        <f t="shared" si="7"/>
        <v>1.8</v>
      </c>
      <c r="O39" s="144">
        <f t="shared" si="7"/>
        <v>0</v>
      </c>
      <c r="P39" s="144">
        <f t="shared" si="7"/>
        <v>0</v>
      </c>
      <c r="Q39" s="144">
        <f t="shared" si="7"/>
        <v>0</v>
      </c>
      <c r="R39" s="144">
        <f t="shared" si="7"/>
        <v>0</v>
      </c>
      <c r="S39" s="144">
        <f t="shared" si="7"/>
        <v>0</v>
      </c>
      <c r="T39" s="144">
        <f t="shared" si="7"/>
        <v>0</v>
      </c>
      <c r="U39" s="144">
        <f t="shared" si="7"/>
        <v>0.5</v>
      </c>
      <c r="V39" s="144">
        <f t="shared" si="7"/>
        <v>0</v>
      </c>
      <c r="W39" s="144">
        <f t="shared" si="7"/>
        <v>0</v>
      </c>
      <c r="X39" s="144">
        <f t="shared" si="7"/>
        <v>8.7</v>
      </c>
      <c r="Y39" s="144">
        <f t="shared" si="7"/>
        <v>0</v>
      </c>
      <c r="Z39" s="144">
        <f t="shared" si="7"/>
        <v>0</v>
      </c>
      <c r="AA39" s="144">
        <f t="shared" si="7"/>
        <v>0</v>
      </c>
      <c r="AB39" s="144">
        <f t="shared" si="7"/>
        <v>0</v>
      </c>
      <c r="AC39" s="144">
        <f t="shared" si="7"/>
        <v>0</v>
      </c>
      <c r="AD39" s="144">
        <f t="shared" si="7"/>
        <v>0</v>
      </c>
      <c r="AE39" s="144"/>
      <c r="AF39" s="144">
        <f t="shared" si="1"/>
        <v>62.79999999999998</v>
      </c>
      <c r="AG39" s="144">
        <f>AG33-AG34-AG36-AG38-AG35-AG37</f>
        <v>310.52</v>
      </c>
    </row>
    <row r="40" spans="1:33" s="145" customFormat="1" ht="15" customHeight="1">
      <c r="A40" s="143" t="s">
        <v>29</v>
      </c>
      <c r="B40" s="144">
        <v>1126.8</v>
      </c>
      <c r="C40" s="144">
        <v>119</v>
      </c>
      <c r="D40" s="144"/>
      <c r="E40" s="144"/>
      <c r="F40" s="144"/>
      <c r="G40" s="144"/>
      <c r="H40" s="144"/>
      <c r="I40" s="144">
        <v>3.8</v>
      </c>
      <c r="J40" s="144"/>
      <c r="K40" s="144"/>
      <c r="L40" s="144">
        <v>389.3</v>
      </c>
      <c r="M40" s="144"/>
      <c r="N40" s="144"/>
      <c r="O40" s="144"/>
      <c r="P40" s="144"/>
      <c r="Q40" s="144"/>
      <c r="R40" s="144"/>
      <c r="S40" s="144"/>
      <c r="T40" s="144"/>
      <c r="U40" s="144"/>
      <c r="V40" s="144">
        <v>707.6</v>
      </c>
      <c r="W40" s="144">
        <v>15</v>
      </c>
      <c r="X40" s="144"/>
      <c r="Y40" s="144"/>
      <c r="Z40" s="144"/>
      <c r="AA40" s="144"/>
      <c r="AB40" s="144"/>
      <c r="AC40" s="144"/>
      <c r="AD40" s="144"/>
      <c r="AE40" s="144"/>
      <c r="AF40" s="144">
        <f t="shared" si="1"/>
        <v>1115.7</v>
      </c>
      <c r="AG40" s="144">
        <f aca="true" t="shared" si="8" ref="AG40:AG45">B40+C40-AF40</f>
        <v>130.0999999999999</v>
      </c>
    </row>
    <row r="41" spans="1:34" s="145" customFormat="1" ht="15.75">
      <c r="A41" s="146" t="s">
        <v>5</v>
      </c>
      <c r="B41" s="144">
        <v>1078.186</v>
      </c>
      <c r="C41" s="144">
        <v>35.899999999999864</v>
      </c>
      <c r="D41" s="144"/>
      <c r="E41" s="144"/>
      <c r="F41" s="144"/>
      <c r="G41" s="144"/>
      <c r="H41" s="144"/>
      <c r="I41" s="144"/>
      <c r="J41" s="144"/>
      <c r="K41" s="144"/>
      <c r="L41" s="144">
        <v>367.7</v>
      </c>
      <c r="M41" s="144"/>
      <c r="N41" s="144"/>
      <c r="O41" s="144"/>
      <c r="P41" s="144"/>
      <c r="Q41" s="144"/>
      <c r="R41" s="144"/>
      <c r="S41" s="144"/>
      <c r="T41" s="144"/>
      <c r="U41" s="144"/>
      <c r="V41" s="144">
        <v>697.1</v>
      </c>
      <c r="W41" s="144">
        <v>14.1</v>
      </c>
      <c r="X41" s="144"/>
      <c r="Y41" s="144"/>
      <c r="Z41" s="144"/>
      <c r="AA41" s="144"/>
      <c r="AB41" s="144"/>
      <c r="AC41" s="144"/>
      <c r="AD41" s="144"/>
      <c r="AE41" s="144"/>
      <c r="AF41" s="144">
        <f t="shared" si="1"/>
        <v>1078.8999999999999</v>
      </c>
      <c r="AG41" s="144">
        <f t="shared" si="8"/>
        <v>35.18599999999992</v>
      </c>
      <c r="AH41" s="148"/>
    </row>
    <row r="42" spans="1:33" s="145" customFormat="1" ht="15.75" hidden="1">
      <c r="A42" s="146" t="s">
        <v>3</v>
      </c>
      <c r="B42" s="144"/>
      <c r="C42" s="144">
        <v>0.8</v>
      </c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>
        <f t="shared" si="1"/>
        <v>0</v>
      </c>
      <c r="AG42" s="144">
        <f t="shared" si="8"/>
        <v>0.8</v>
      </c>
    </row>
    <row r="43" spans="1:33" s="145" customFormat="1" ht="15.75">
      <c r="A43" s="146" t="s">
        <v>1</v>
      </c>
      <c r="B43" s="144">
        <v>9.6</v>
      </c>
      <c r="C43" s="144">
        <v>14.6</v>
      </c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>
        <v>7.1</v>
      </c>
      <c r="W43" s="144"/>
      <c r="X43" s="144"/>
      <c r="Y43" s="144"/>
      <c r="Z43" s="144"/>
      <c r="AA43" s="144"/>
      <c r="AB43" s="144"/>
      <c r="AC43" s="144"/>
      <c r="AD43" s="144"/>
      <c r="AE43" s="144"/>
      <c r="AF43" s="144">
        <f t="shared" si="1"/>
        <v>7.1</v>
      </c>
      <c r="AG43" s="144">
        <f t="shared" si="8"/>
        <v>17.1</v>
      </c>
    </row>
    <row r="44" spans="1:33" s="145" customFormat="1" ht="15.75">
      <c r="A44" s="146" t="s">
        <v>2</v>
      </c>
      <c r="B44" s="144">
        <v>6.33</v>
      </c>
      <c r="C44" s="144">
        <v>51</v>
      </c>
      <c r="D44" s="144"/>
      <c r="E44" s="144"/>
      <c r="F44" s="144"/>
      <c r="G44" s="144"/>
      <c r="H44" s="144"/>
      <c r="I44" s="144">
        <v>0.6</v>
      </c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>
        <v>1.4</v>
      </c>
      <c r="W44" s="144">
        <v>0.5</v>
      </c>
      <c r="X44" s="144"/>
      <c r="Y44" s="144"/>
      <c r="Z44" s="144"/>
      <c r="AA44" s="144"/>
      <c r="AB44" s="144"/>
      <c r="AC44" s="144"/>
      <c r="AD44" s="144"/>
      <c r="AE44" s="144"/>
      <c r="AF44" s="144">
        <f t="shared" si="1"/>
        <v>2.5</v>
      </c>
      <c r="AG44" s="144">
        <f t="shared" si="8"/>
        <v>54.83</v>
      </c>
    </row>
    <row r="45" spans="1:33" s="145" customFormat="1" ht="15.75" hidden="1">
      <c r="A45" s="146" t="s">
        <v>15</v>
      </c>
      <c r="B45" s="144"/>
      <c r="C45" s="144">
        <v>0</v>
      </c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>
        <f t="shared" si="1"/>
        <v>0</v>
      </c>
      <c r="AG45" s="144">
        <f t="shared" si="8"/>
        <v>0</v>
      </c>
    </row>
    <row r="46" spans="1:33" s="145" customFormat="1" ht="15.75">
      <c r="A46" s="146" t="s">
        <v>23</v>
      </c>
      <c r="B46" s="144">
        <f aca="true" t="shared" si="9" ref="B46:AD46">B40-B41-B42-B43-B44-B45</f>
        <v>32.68400000000003</v>
      </c>
      <c r="C46" s="144">
        <f t="shared" si="9"/>
        <v>16.700000000000145</v>
      </c>
      <c r="D46" s="144">
        <f t="shared" si="9"/>
        <v>0</v>
      </c>
      <c r="E46" s="144">
        <f t="shared" si="9"/>
        <v>0</v>
      </c>
      <c r="F46" s="144">
        <f t="shared" si="9"/>
        <v>0</v>
      </c>
      <c r="G46" s="144">
        <f t="shared" si="9"/>
        <v>0</v>
      </c>
      <c r="H46" s="144">
        <f t="shared" si="9"/>
        <v>0</v>
      </c>
      <c r="I46" s="144">
        <f t="shared" si="9"/>
        <v>3.1999999999999997</v>
      </c>
      <c r="J46" s="144">
        <f t="shared" si="9"/>
        <v>0</v>
      </c>
      <c r="K46" s="144">
        <f t="shared" si="9"/>
        <v>0</v>
      </c>
      <c r="L46" s="144">
        <f t="shared" si="9"/>
        <v>21.600000000000023</v>
      </c>
      <c r="M46" s="144">
        <f t="shared" si="9"/>
        <v>0</v>
      </c>
      <c r="N46" s="144">
        <f t="shared" si="9"/>
        <v>0</v>
      </c>
      <c r="O46" s="144">
        <f t="shared" si="9"/>
        <v>0</v>
      </c>
      <c r="P46" s="144">
        <f t="shared" si="9"/>
        <v>0</v>
      </c>
      <c r="Q46" s="144">
        <f t="shared" si="9"/>
        <v>0</v>
      </c>
      <c r="R46" s="144">
        <f t="shared" si="9"/>
        <v>0</v>
      </c>
      <c r="S46" s="144">
        <f t="shared" si="9"/>
        <v>0</v>
      </c>
      <c r="T46" s="144">
        <f t="shared" si="9"/>
        <v>0</v>
      </c>
      <c r="U46" s="144">
        <f t="shared" si="9"/>
        <v>0</v>
      </c>
      <c r="V46" s="144">
        <f t="shared" si="9"/>
        <v>2.0000000000000004</v>
      </c>
      <c r="W46" s="144">
        <f t="shared" si="9"/>
        <v>0.40000000000000036</v>
      </c>
      <c r="X46" s="144">
        <f t="shared" si="9"/>
        <v>0</v>
      </c>
      <c r="Y46" s="144">
        <f t="shared" si="9"/>
        <v>0</v>
      </c>
      <c r="Z46" s="144">
        <f t="shared" si="9"/>
        <v>0</v>
      </c>
      <c r="AA46" s="144">
        <f t="shared" si="9"/>
        <v>0</v>
      </c>
      <c r="AB46" s="144">
        <f t="shared" si="9"/>
        <v>0</v>
      </c>
      <c r="AC46" s="144">
        <f t="shared" si="9"/>
        <v>0</v>
      </c>
      <c r="AD46" s="144">
        <f t="shared" si="9"/>
        <v>0</v>
      </c>
      <c r="AE46" s="144"/>
      <c r="AF46" s="144">
        <f t="shared" si="1"/>
        <v>27.200000000000024</v>
      </c>
      <c r="AG46" s="144">
        <f>AG40-AG41-AG42-AG43-AG44-AG45</f>
        <v>22.183999999999983</v>
      </c>
    </row>
    <row r="47" spans="1:33" s="145" customFormat="1" ht="17.25" customHeight="1">
      <c r="A47" s="143" t="s">
        <v>43</v>
      </c>
      <c r="B47" s="149">
        <v>845.4042299999967</v>
      </c>
      <c r="C47" s="144">
        <v>1303.9899999999998</v>
      </c>
      <c r="D47" s="144"/>
      <c r="E47" s="150">
        <v>45.1</v>
      </c>
      <c r="F47" s="150">
        <v>20.5</v>
      </c>
      <c r="G47" s="150">
        <v>127.1</v>
      </c>
      <c r="H47" s="150">
        <v>4.6</v>
      </c>
      <c r="I47" s="150">
        <v>64.3</v>
      </c>
      <c r="J47" s="150"/>
      <c r="K47" s="150">
        <v>36.4</v>
      </c>
      <c r="L47" s="150">
        <f>328.8-1.6</f>
        <v>327.2</v>
      </c>
      <c r="M47" s="150">
        <v>12.7</v>
      </c>
      <c r="N47" s="150"/>
      <c r="O47" s="150"/>
      <c r="P47" s="150">
        <v>69.9</v>
      </c>
      <c r="Q47" s="150"/>
      <c r="R47" s="150">
        <v>12</v>
      </c>
      <c r="S47" s="150"/>
      <c r="T47" s="150"/>
      <c r="U47" s="150">
        <f>57.5</f>
        <v>57.5</v>
      </c>
      <c r="V47" s="150">
        <v>10.1</v>
      </c>
      <c r="W47" s="150">
        <v>29.2</v>
      </c>
      <c r="X47" s="150"/>
      <c r="Y47" s="150"/>
      <c r="Z47" s="150"/>
      <c r="AA47" s="150"/>
      <c r="AB47" s="150"/>
      <c r="AC47" s="150"/>
      <c r="AD47" s="150"/>
      <c r="AE47" s="150"/>
      <c r="AF47" s="144">
        <f t="shared" si="1"/>
        <v>816.6</v>
      </c>
      <c r="AG47" s="144">
        <f>B47+C47-AF47</f>
        <v>1332.7942299999963</v>
      </c>
    </row>
    <row r="48" spans="1:33" s="145" customFormat="1" ht="15.75">
      <c r="A48" s="146" t="s">
        <v>5</v>
      </c>
      <c r="B48" s="144">
        <v>36.375</v>
      </c>
      <c r="C48" s="144">
        <v>70.4</v>
      </c>
      <c r="D48" s="144"/>
      <c r="E48" s="150"/>
      <c r="F48" s="150"/>
      <c r="G48" s="150"/>
      <c r="H48" s="150"/>
      <c r="I48" s="150"/>
      <c r="J48" s="150"/>
      <c r="K48" s="150">
        <v>30.9</v>
      </c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>
        <v>10.3</v>
      </c>
      <c r="X48" s="150"/>
      <c r="Y48" s="150"/>
      <c r="Z48" s="150"/>
      <c r="AA48" s="150"/>
      <c r="AB48" s="150"/>
      <c r="AC48" s="150"/>
      <c r="AD48" s="150"/>
      <c r="AE48" s="150"/>
      <c r="AF48" s="144">
        <f t="shared" si="1"/>
        <v>41.2</v>
      </c>
      <c r="AG48" s="144">
        <f>B48+C48-AF48</f>
        <v>65.575</v>
      </c>
    </row>
    <row r="49" spans="1:33" ht="15.75">
      <c r="A49" s="3" t="s">
        <v>16</v>
      </c>
      <c r="B49" s="72">
        <v>610.402</v>
      </c>
      <c r="C49" s="72">
        <v>743.6700000000001</v>
      </c>
      <c r="D49" s="67"/>
      <c r="E49" s="67"/>
      <c r="F49" s="67"/>
      <c r="G49" s="67">
        <f>3.6+113.8</f>
        <v>117.39999999999999</v>
      </c>
      <c r="H49" s="67"/>
      <c r="I49" s="67">
        <v>46.6</v>
      </c>
      <c r="J49" s="72"/>
      <c r="K49" s="67">
        <v>5.5</v>
      </c>
      <c r="L49" s="72">
        <v>312.1</v>
      </c>
      <c r="M49" s="67">
        <v>9.5</v>
      </c>
      <c r="N49" s="67"/>
      <c r="O49" s="71"/>
      <c r="P49" s="67">
        <f>53.6+2.4</f>
        <v>56</v>
      </c>
      <c r="Q49" s="67"/>
      <c r="R49" s="67"/>
      <c r="S49" s="72"/>
      <c r="T49" s="72"/>
      <c r="U49" s="67">
        <v>9.1</v>
      </c>
      <c r="V49" s="67">
        <v>1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557.2</v>
      </c>
      <c r="AG49" s="72">
        <f>B49+C49-AF49</f>
        <v>796.8720000000001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198.62722999999664</v>
      </c>
      <c r="C51" s="72">
        <f aca="true" t="shared" si="10" ref="C51:AD51">C47-C48-C49</f>
        <v>489.9199999999996</v>
      </c>
      <c r="D51" s="67">
        <f t="shared" si="10"/>
        <v>0</v>
      </c>
      <c r="E51" s="67">
        <f t="shared" si="10"/>
        <v>45.1</v>
      </c>
      <c r="F51" s="67">
        <f t="shared" si="10"/>
        <v>20.5</v>
      </c>
      <c r="G51" s="67">
        <f t="shared" si="10"/>
        <v>9.700000000000003</v>
      </c>
      <c r="H51" s="67">
        <f t="shared" si="10"/>
        <v>4.6</v>
      </c>
      <c r="I51" s="67">
        <f t="shared" si="10"/>
        <v>17.699999999999996</v>
      </c>
      <c r="J51" s="72">
        <f t="shared" si="10"/>
        <v>0</v>
      </c>
      <c r="K51" s="67">
        <f t="shared" si="10"/>
        <v>0</v>
      </c>
      <c r="L51" s="72">
        <f t="shared" si="10"/>
        <v>15.099999999999966</v>
      </c>
      <c r="M51" s="67">
        <f t="shared" si="10"/>
        <v>3.1999999999999993</v>
      </c>
      <c r="N51" s="67">
        <f t="shared" si="10"/>
        <v>0</v>
      </c>
      <c r="O51" s="67">
        <f t="shared" si="10"/>
        <v>0</v>
      </c>
      <c r="P51" s="67">
        <f t="shared" si="10"/>
        <v>13.900000000000006</v>
      </c>
      <c r="Q51" s="67">
        <f t="shared" si="10"/>
        <v>0</v>
      </c>
      <c r="R51" s="67">
        <f t="shared" si="10"/>
        <v>12</v>
      </c>
      <c r="S51" s="67">
        <f t="shared" si="10"/>
        <v>0</v>
      </c>
      <c r="T51" s="67">
        <f t="shared" si="10"/>
        <v>0</v>
      </c>
      <c r="U51" s="67">
        <f t="shared" si="10"/>
        <v>48.4</v>
      </c>
      <c r="V51" s="67">
        <f t="shared" si="10"/>
        <v>9.1</v>
      </c>
      <c r="W51" s="67">
        <f t="shared" si="10"/>
        <v>18.9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218.19999999999996</v>
      </c>
      <c r="AG51" s="72">
        <f>AG47-AG49-AG48</f>
        <v>470.3472299999963</v>
      </c>
    </row>
    <row r="52" spans="1:33" ht="15" customHeight="1">
      <c r="A52" s="4" t="s">
        <v>0</v>
      </c>
      <c r="B52" s="72">
        <f>5294.90226-277.9-722.1</f>
        <v>4294.90226</v>
      </c>
      <c r="C52" s="72">
        <v>3400.5099999999993</v>
      </c>
      <c r="D52" s="67"/>
      <c r="E52" s="67">
        <v>486</v>
      </c>
      <c r="F52" s="67">
        <v>611.6</v>
      </c>
      <c r="G52" s="67"/>
      <c r="H52" s="67">
        <v>390.6</v>
      </c>
      <c r="I52" s="67"/>
      <c r="J52" s="72">
        <v>222.5</v>
      </c>
      <c r="K52" s="67"/>
      <c r="L52" s="72"/>
      <c r="M52" s="67">
        <v>462.3</v>
      </c>
      <c r="N52" s="67">
        <v>128.1</v>
      </c>
      <c r="O52" s="71">
        <v>21.2</v>
      </c>
      <c r="P52" s="67"/>
      <c r="Q52" s="67">
        <v>417.6</v>
      </c>
      <c r="R52" s="67"/>
      <c r="S52" s="72">
        <v>33.2</v>
      </c>
      <c r="T52" s="72"/>
      <c r="U52" s="72">
        <v>178.4</v>
      </c>
      <c r="V52" s="72">
        <v>166.2</v>
      </c>
      <c r="W52" s="72">
        <v>447</v>
      </c>
      <c r="X52" s="67">
        <v>459.1</v>
      </c>
      <c r="Y52" s="72"/>
      <c r="Z52" s="72"/>
      <c r="AA52" s="72"/>
      <c r="AB52" s="67"/>
      <c r="AC52" s="67"/>
      <c r="AD52" s="67"/>
      <c r="AE52" s="67"/>
      <c r="AF52" s="71">
        <f t="shared" si="1"/>
        <v>4023.7999999999993</v>
      </c>
      <c r="AG52" s="72">
        <f aca="true" t="shared" si="11" ref="AG52:AG59">B52+C52-AF52</f>
        <v>3671.61226</v>
      </c>
    </row>
    <row r="53" spans="1:33" ht="15" customHeight="1">
      <c r="A53" s="3" t="s">
        <v>2</v>
      </c>
      <c r="B53" s="72">
        <v>626.401</v>
      </c>
      <c r="C53" s="72">
        <v>823.3</v>
      </c>
      <c r="D53" s="67"/>
      <c r="E53" s="67">
        <v>32.4</v>
      </c>
      <c r="F53" s="67">
        <v>530.2</v>
      </c>
      <c r="G53" s="67"/>
      <c r="H53" s="67"/>
      <c r="I53" s="67"/>
      <c r="J53" s="72">
        <v>66</v>
      </c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90.3</v>
      </c>
      <c r="W53" s="72"/>
      <c r="X53" s="67">
        <v>454.6</v>
      </c>
      <c r="Y53" s="72"/>
      <c r="Z53" s="72"/>
      <c r="AA53" s="72"/>
      <c r="AB53" s="67"/>
      <c r="AC53" s="67"/>
      <c r="AD53" s="67"/>
      <c r="AE53" s="67"/>
      <c r="AF53" s="71">
        <f t="shared" si="1"/>
        <v>1173.5</v>
      </c>
      <c r="AG53" s="72">
        <f t="shared" si="11"/>
        <v>276.201</v>
      </c>
    </row>
    <row r="54" spans="1:34" ht="15" customHeight="1">
      <c r="A54" s="4" t="s">
        <v>9</v>
      </c>
      <c r="B54" s="111">
        <v>1729.4</v>
      </c>
      <c r="C54" s="72">
        <v>1301.7</v>
      </c>
      <c r="D54" s="67"/>
      <c r="E54" s="67">
        <v>153.2</v>
      </c>
      <c r="F54" s="67">
        <v>95.1</v>
      </c>
      <c r="G54" s="67"/>
      <c r="H54" s="67">
        <v>201.6</v>
      </c>
      <c r="I54" s="67">
        <v>8.9</v>
      </c>
      <c r="J54" s="72">
        <v>10.4</v>
      </c>
      <c r="K54" s="67">
        <v>89.8</v>
      </c>
      <c r="L54" s="72">
        <v>488.7</v>
      </c>
      <c r="M54" s="67">
        <v>19</v>
      </c>
      <c r="N54" s="67">
        <v>6.2</v>
      </c>
      <c r="O54" s="71">
        <v>185.8</v>
      </c>
      <c r="P54" s="67">
        <v>0.6</v>
      </c>
      <c r="Q54" s="71">
        <v>16.9</v>
      </c>
      <c r="R54" s="67"/>
      <c r="S54" s="72">
        <v>1</v>
      </c>
      <c r="T54" s="72">
        <v>24.9</v>
      </c>
      <c r="U54" s="72"/>
      <c r="V54" s="72"/>
      <c r="W54" s="72">
        <v>624.5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1926.6</v>
      </c>
      <c r="AG54" s="72">
        <f t="shared" si="11"/>
        <v>1104.5000000000005</v>
      </c>
      <c r="AH54" s="6"/>
    </row>
    <row r="55" spans="1:34" ht="15.75">
      <c r="A55" s="3" t="s">
        <v>5</v>
      </c>
      <c r="B55" s="72">
        <v>1182.807</v>
      </c>
      <c r="C55" s="72">
        <v>266.5</v>
      </c>
      <c r="D55" s="67"/>
      <c r="E55" s="67"/>
      <c r="F55" s="67"/>
      <c r="G55" s="67"/>
      <c r="H55" s="67"/>
      <c r="I55" s="67"/>
      <c r="J55" s="72"/>
      <c r="K55" s="67">
        <v>89.8</v>
      </c>
      <c r="L55" s="72">
        <v>485</v>
      </c>
      <c r="M55" s="67">
        <v>19</v>
      </c>
      <c r="N55" s="67"/>
      <c r="O55" s="71">
        <v>3.6</v>
      </c>
      <c r="P55" s="67"/>
      <c r="Q55" s="71"/>
      <c r="R55" s="67"/>
      <c r="S55" s="72"/>
      <c r="T55" s="72"/>
      <c r="U55" s="72"/>
      <c r="V55" s="72"/>
      <c r="W55" s="72">
        <v>623.1</v>
      </c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1220.5</v>
      </c>
      <c r="AG55" s="72">
        <f t="shared" si="11"/>
        <v>228.80700000000002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20.536</v>
      </c>
      <c r="C57" s="72">
        <v>36.500000000000114</v>
      </c>
      <c r="D57" s="72"/>
      <c r="E57" s="72"/>
      <c r="F57" s="72">
        <v>7.6</v>
      </c>
      <c r="G57" s="72"/>
      <c r="H57" s="72"/>
      <c r="I57" s="72"/>
      <c r="J57" s="72"/>
      <c r="K57" s="72"/>
      <c r="L57" s="72">
        <v>0.4</v>
      </c>
      <c r="M57" s="72"/>
      <c r="N57" s="72">
        <v>4.3</v>
      </c>
      <c r="O57" s="72"/>
      <c r="P57" s="72"/>
      <c r="Q57" s="72"/>
      <c r="R57" s="72"/>
      <c r="S57" s="72"/>
      <c r="T57" s="72">
        <v>0.1</v>
      </c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12.4</v>
      </c>
      <c r="AG57" s="72">
        <f t="shared" si="11"/>
        <v>44.63600000000012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526.057</v>
      </c>
      <c r="C60" s="72">
        <f t="shared" si="12"/>
        <v>998.6999999999999</v>
      </c>
      <c r="D60" s="67">
        <f t="shared" si="12"/>
        <v>0</v>
      </c>
      <c r="E60" s="67">
        <f>E54-E55-E57-E59-E56-E58</f>
        <v>153.2</v>
      </c>
      <c r="F60" s="67">
        <f t="shared" si="12"/>
        <v>87.5</v>
      </c>
      <c r="G60" s="67">
        <f t="shared" si="12"/>
        <v>0</v>
      </c>
      <c r="H60" s="67">
        <f t="shared" si="12"/>
        <v>201.6</v>
      </c>
      <c r="I60" s="67">
        <f t="shared" si="12"/>
        <v>8.9</v>
      </c>
      <c r="J60" s="72">
        <f t="shared" si="12"/>
        <v>10.4</v>
      </c>
      <c r="K60" s="67">
        <f t="shared" si="12"/>
        <v>0</v>
      </c>
      <c r="L60" s="72">
        <f t="shared" si="12"/>
        <v>3.2999999999999887</v>
      </c>
      <c r="M60" s="67">
        <f t="shared" si="12"/>
        <v>0</v>
      </c>
      <c r="N60" s="67">
        <f t="shared" si="12"/>
        <v>1.9000000000000004</v>
      </c>
      <c r="O60" s="67">
        <f t="shared" si="12"/>
        <v>182.20000000000002</v>
      </c>
      <c r="P60" s="67">
        <f t="shared" si="12"/>
        <v>0.6</v>
      </c>
      <c r="Q60" s="67">
        <f t="shared" si="12"/>
        <v>16.9</v>
      </c>
      <c r="R60" s="67">
        <f t="shared" si="12"/>
        <v>0</v>
      </c>
      <c r="S60" s="67">
        <f t="shared" si="12"/>
        <v>1</v>
      </c>
      <c r="T60" s="67">
        <f t="shared" si="12"/>
        <v>24.799999999999997</v>
      </c>
      <c r="U60" s="67">
        <f t="shared" si="12"/>
        <v>0</v>
      </c>
      <c r="V60" s="67">
        <f t="shared" si="12"/>
        <v>0</v>
      </c>
      <c r="W60" s="67">
        <f t="shared" si="12"/>
        <v>1.3999999999999773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693.6999999999999</v>
      </c>
      <c r="AG60" s="72">
        <f>AG54-AG55-AG57-AG59-AG56-AG58</f>
        <v>831.0570000000004</v>
      </c>
    </row>
    <row r="61" spans="1:33" ht="15" customHeight="1">
      <c r="A61" s="4" t="s">
        <v>10</v>
      </c>
      <c r="B61" s="72">
        <v>118.7</v>
      </c>
      <c r="C61" s="72">
        <v>623.2</v>
      </c>
      <c r="D61" s="67"/>
      <c r="E61" s="67">
        <v>10</v>
      </c>
      <c r="F61" s="67"/>
      <c r="G61" s="67"/>
      <c r="H61" s="67"/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0.2</v>
      </c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10.2</v>
      </c>
      <c r="AG61" s="72">
        <f aca="true" t="shared" si="14" ref="AG61:AG67">B61+C61-AF61</f>
        <v>731.7</v>
      </c>
    </row>
    <row r="62" spans="1:33" s="18" customFormat="1" ht="15" customHeight="1">
      <c r="A62" s="108" t="s">
        <v>11</v>
      </c>
      <c r="B62" s="72">
        <v>3961.7</v>
      </c>
      <c r="C62" s="72">
        <v>2193.3</v>
      </c>
      <c r="D62" s="72"/>
      <c r="E62" s="72"/>
      <c r="F62" s="72"/>
      <c r="G62" s="72">
        <v>53.1</v>
      </c>
      <c r="H62" s="72">
        <v>4.7</v>
      </c>
      <c r="I62" s="72">
        <v>6.6</v>
      </c>
      <c r="J62" s="72">
        <v>3</v>
      </c>
      <c r="K62" s="72"/>
      <c r="L62" s="72">
        <v>10.5</v>
      </c>
      <c r="M62" s="72">
        <v>814.6</v>
      </c>
      <c r="N62" s="72">
        <v>17.2</v>
      </c>
      <c r="O62" s="72">
        <v>439</v>
      </c>
      <c r="P62" s="72">
        <v>12.3</v>
      </c>
      <c r="Q62" s="72">
        <v>117.7</v>
      </c>
      <c r="R62" s="72"/>
      <c r="S62" s="72"/>
      <c r="T62" s="72">
        <v>250.8</v>
      </c>
      <c r="U62" s="72">
        <v>97.8</v>
      </c>
      <c r="V62" s="72">
        <v>751.4</v>
      </c>
      <c r="W62" s="72">
        <v>316.3</v>
      </c>
      <c r="X62" s="72">
        <v>7.6</v>
      </c>
      <c r="Y62" s="72"/>
      <c r="Z62" s="72"/>
      <c r="AA62" s="72"/>
      <c r="AB62" s="72"/>
      <c r="AC62" s="72"/>
      <c r="AD62" s="72"/>
      <c r="AE62" s="72"/>
      <c r="AF62" s="72">
        <f t="shared" si="13"/>
        <v>2902.6</v>
      </c>
      <c r="AG62" s="72">
        <f t="shared" si="14"/>
        <v>3252.4</v>
      </c>
    </row>
    <row r="63" spans="1:34" ht="15.75">
      <c r="A63" s="3" t="s">
        <v>5</v>
      </c>
      <c r="B63" s="72">
        <v>1639.804</v>
      </c>
      <c r="C63" s="72">
        <v>1261.4</v>
      </c>
      <c r="D63" s="67"/>
      <c r="E63" s="67"/>
      <c r="F63" s="67"/>
      <c r="G63" s="67"/>
      <c r="H63" s="67"/>
      <c r="I63" s="67"/>
      <c r="J63" s="72"/>
      <c r="K63" s="67"/>
      <c r="L63" s="72"/>
      <c r="M63" s="67">
        <v>658.1</v>
      </c>
      <c r="N63" s="67"/>
      <c r="O63" s="71">
        <v>439</v>
      </c>
      <c r="P63" s="67"/>
      <c r="Q63" s="71"/>
      <c r="R63" s="67"/>
      <c r="S63" s="72"/>
      <c r="T63" s="72"/>
      <c r="U63" s="72"/>
      <c r="V63" s="72">
        <v>623.6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1720.6999999999998</v>
      </c>
      <c r="AG63" s="72">
        <f t="shared" si="14"/>
        <v>1180.5040000000004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47.2</v>
      </c>
      <c r="C65" s="72">
        <v>56.400000000000006</v>
      </c>
      <c r="D65" s="67"/>
      <c r="E65" s="67"/>
      <c r="F65" s="67"/>
      <c r="G65" s="67">
        <v>23.5</v>
      </c>
      <c r="H65" s="67">
        <v>0.7</v>
      </c>
      <c r="I65" s="67"/>
      <c r="J65" s="72"/>
      <c r="K65" s="67"/>
      <c r="L65" s="72">
        <v>4.2</v>
      </c>
      <c r="M65" s="67"/>
      <c r="N65" s="67">
        <v>10.2</v>
      </c>
      <c r="O65" s="71"/>
      <c r="P65" s="67"/>
      <c r="Q65" s="71">
        <v>2.2</v>
      </c>
      <c r="R65" s="67"/>
      <c r="S65" s="72"/>
      <c r="T65" s="72">
        <v>1.8</v>
      </c>
      <c r="U65" s="72"/>
      <c r="V65" s="72">
        <v>2</v>
      </c>
      <c r="W65" s="72">
        <v>15.6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60.199999999999996</v>
      </c>
      <c r="AG65" s="72">
        <f t="shared" si="14"/>
        <v>43.40000000000001</v>
      </c>
      <c r="AH65" s="6"/>
    </row>
    <row r="66" spans="1:33" ht="15.75">
      <c r="A66" s="3" t="s">
        <v>2</v>
      </c>
      <c r="B66" s="72">
        <v>31.945</v>
      </c>
      <c r="C66" s="72">
        <v>110.50000000000001</v>
      </c>
      <c r="D66" s="67"/>
      <c r="E66" s="67"/>
      <c r="F66" s="67"/>
      <c r="G66" s="67">
        <v>5.8</v>
      </c>
      <c r="H66" s="67"/>
      <c r="I66" s="67"/>
      <c r="J66" s="72"/>
      <c r="K66" s="67"/>
      <c r="L66" s="72">
        <v>0.4</v>
      </c>
      <c r="M66" s="67"/>
      <c r="N66" s="67">
        <v>0.3</v>
      </c>
      <c r="O66" s="71"/>
      <c r="P66" s="67">
        <v>0.3</v>
      </c>
      <c r="Q66" s="67"/>
      <c r="R66" s="67"/>
      <c r="S66" s="72"/>
      <c r="T66" s="72">
        <v>9.3</v>
      </c>
      <c r="U66" s="72"/>
      <c r="V66" s="72">
        <v>0.2</v>
      </c>
      <c r="W66" s="72">
        <v>0.6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16.900000000000002</v>
      </c>
      <c r="AG66" s="72">
        <f t="shared" si="14"/>
        <v>125.54500000000002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110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2132.7509999999997</v>
      </c>
      <c r="C68" s="72">
        <f t="shared" si="15"/>
        <v>765.0000000000001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23.800000000000004</v>
      </c>
      <c r="H68" s="67">
        <f t="shared" si="15"/>
        <v>4</v>
      </c>
      <c r="I68" s="67">
        <f t="shared" si="15"/>
        <v>6.6</v>
      </c>
      <c r="J68" s="72">
        <f t="shared" si="15"/>
        <v>3</v>
      </c>
      <c r="K68" s="67">
        <f t="shared" si="15"/>
        <v>0</v>
      </c>
      <c r="L68" s="72">
        <f t="shared" si="15"/>
        <v>5.8999999999999995</v>
      </c>
      <c r="M68" s="67">
        <f t="shared" si="15"/>
        <v>156.5</v>
      </c>
      <c r="N68" s="67">
        <f t="shared" si="15"/>
        <v>6.699999999999999</v>
      </c>
      <c r="O68" s="67">
        <f t="shared" si="15"/>
        <v>0</v>
      </c>
      <c r="P68" s="67">
        <f t="shared" si="15"/>
        <v>12</v>
      </c>
      <c r="Q68" s="67">
        <f t="shared" si="15"/>
        <v>5.500000000000003</v>
      </c>
      <c r="R68" s="67">
        <f t="shared" si="15"/>
        <v>0</v>
      </c>
      <c r="S68" s="67">
        <f t="shared" si="15"/>
        <v>0</v>
      </c>
      <c r="T68" s="67">
        <f t="shared" si="15"/>
        <v>239.7</v>
      </c>
      <c r="U68" s="67">
        <f t="shared" si="15"/>
        <v>97.8</v>
      </c>
      <c r="V68" s="67">
        <f t="shared" si="15"/>
        <v>125.59999999999995</v>
      </c>
      <c r="W68" s="67">
        <f t="shared" si="15"/>
        <v>300.09999999999997</v>
      </c>
      <c r="X68" s="67">
        <f t="shared" si="15"/>
        <v>7.6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994.7999999999998</v>
      </c>
      <c r="AG68" s="72">
        <f>AG62-AG63-AG66-AG67-AG65-AG64</f>
        <v>1902.9509999999996</v>
      </c>
    </row>
    <row r="69" spans="1:33" ht="31.5">
      <c r="A69" s="4" t="s">
        <v>45</v>
      </c>
      <c r="B69" s="72">
        <v>4589.239</v>
      </c>
      <c r="C69" s="72">
        <v>59.100000000000364</v>
      </c>
      <c r="D69" s="67"/>
      <c r="E69" s="67">
        <v>457.2</v>
      </c>
      <c r="F69" s="67"/>
      <c r="G69" s="67">
        <v>1108.2</v>
      </c>
      <c r="H69" s="67"/>
      <c r="I69" s="67"/>
      <c r="J69" s="72"/>
      <c r="K69" s="67"/>
      <c r="L69" s="72"/>
      <c r="M69" s="67"/>
      <c r="N69" s="67"/>
      <c r="O69" s="67"/>
      <c r="P69" s="67">
        <v>2510.4</v>
      </c>
      <c r="Q69" s="67"/>
      <c r="R69" s="67"/>
      <c r="S69" s="72"/>
      <c r="T69" s="72"/>
      <c r="U69" s="67">
        <v>39.4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4115.2</v>
      </c>
      <c r="AG69" s="130">
        <f aca="true" t="shared" si="16" ref="AG69:AG92">B69+C69-AF69</f>
        <v>533.1390000000001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338.69999999999993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750.8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750.8</v>
      </c>
      <c r="AG71" s="130">
        <f t="shared" si="16"/>
        <v>487.89999999999986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1137.3+4.4</f>
        <v>1141.7</v>
      </c>
      <c r="C72" s="72">
        <v>2845.1000000000004</v>
      </c>
      <c r="D72" s="67"/>
      <c r="E72" s="67">
        <f>622.9-457.2</f>
        <v>165.7</v>
      </c>
      <c r="F72" s="67">
        <v>7.9</v>
      </c>
      <c r="G72" s="67">
        <v>0.2</v>
      </c>
      <c r="H72" s="67">
        <v>128.3</v>
      </c>
      <c r="I72" s="67">
        <v>7.7</v>
      </c>
      <c r="J72" s="72">
        <v>40.5</v>
      </c>
      <c r="K72" s="67">
        <v>26.6</v>
      </c>
      <c r="L72" s="72">
        <v>9.8</v>
      </c>
      <c r="M72" s="67"/>
      <c r="N72" s="67">
        <v>0.7</v>
      </c>
      <c r="O72" s="67">
        <v>12.1</v>
      </c>
      <c r="P72" s="67">
        <v>16.4</v>
      </c>
      <c r="Q72" s="71">
        <v>1.2</v>
      </c>
      <c r="R72" s="67">
        <v>16</v>
      </c>
      <c r="S72" s="72">
        <v>6.4</v>
      </c>
      <c r="T72" s="72">
        <v>2.3</v>
      </c>
      <c r="U72" s="72">
        <v>166.6</v>
      </c>
      <c r="V72" s="72">
        <v>99.2</v>
      </c>
      <c r="W72" s="72">
        <v>12.8</v>
      </c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720.4</v>
      </c>
      <c r="AG72" s="130">
        <f t="shared" si="16"/>
        <v>3266.4</v>
      </c>
      <c r="AH72" s="86"/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v>105.1</v>
      </c>
      <c r="C74" s="72">
        <v>405.4</v>
      </c>
      <c r="D74" s="67"/>
      <c r="E74" s="67">
        <v>47.6</v>
      </c>
      <c r="F74" s="67">
        <v>0.6</v>
      </c>
      <c r="G74" s="67"/>
      <c r="H74" s="67"/>
      <c r="I74" s="67"/>
      <c r="J74" s="72"/>
      <c r="K74" s="67">
        <v>26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74.2</v>
      </c>
      <c r="AG74" s="130">
        <f t="shared" si="16"/>
        <v>436.3</v>
      </c>
    </row>
    <row r="75" spans="1:33" ht="15" customHeight="1">
      <c r="A75" s="3" t="s">
        <v>16</v>
      </c>
      <c r="B75" s="72">
        <v>69</v>
      </c>
      <c r="C75" s="72">
        <v>33.800000000000004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>
        <v>12.1</v>
      </c>
      <c r="P75" s="67"/>
      <c r="Q75" s="71"/>
      <c r="R75" s="67"/>
      <c r="S75" s="72"/>
      <c r="T75" s="72"/>
      <c r="U75" s="72"/>
      <c r="V75" s="72">
        <v>7.4</v>
      </c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19.5</v>
      </c>
      <c r="AG75" s="130">
        <f t="shared" si="16"/>
        <v>83.30000000000001</v>
      </c>
    </row>
    <row r="76" spans="1:35" s="11" customFormat="1" ht="15.75">
      <c r="A76" s="12" t="s">
        <v>48</v>
      </c>
      <c r="B76" s="72">
        <f>268.6+170.4-107-150+300</f>
        <v>482</v>
      </c>
      <c r="C76" s="72">
        <f>231.06-150</f>
        <v>81.06</v>
      </c>
      <c r="D76" s="67"/>
      <c r="E76" s="79"/>
      <c r="F76" s="79"/>
      <c r="G76" s="79"/>
      <c r="H76" s="79"/>
      <c r="I76" s="79"/>
      <c r="J76" s="80"/>
      <c r="K76" s="79"/>
      <c r="L76" s="80"/>
      <c r="M76" s="79">
        <v>50.5</v>
      </c>
      <c r="N76" s="79">
        <v>35.7</v>
      </c>
      <c r="O76" s="79"/>
      <c r="P76" s="79"/>
      <c r="Q76" s="81"/>
      <c r="R76" s="79"/>
      <c r="S76" s="80"/>
      <c r="T76" s="80"/>
      <c r="U76" s="79">
        <v>3.4</v>
      </c>
      <c r="V76" s="79">
        <v>90.4</v>
      </c>
      <c r="W76" s="79"/>
      <c r="X76" s="80">
        <v>360.2</v>
      </c>
      <c r="Y76" s="80"/>
      <c r="Z76" s="80"/>
      <c r="AA76" s="80"/>
      <c r="AB76" s="79"/>
      <c r="AC76" s="79"/>
      <c r="AD76" s="79"/>
      <c r="AE76" s="79"/>
      <c r="AF76" s="71">
        <f t="shared" si="13"/>
        <v>540.2</v>
      </c>
      <c r="AG76" s="130">
        <f t="shared" si="16"/>
        <v>22.8599999999999</v>
      </c>
      <c r="AI76" s="128"/>
    </row>
    <row r="77" spans="1:33" s="11" customFormat="1" ht="15.75">
      <c r="A77" s="3" t="s">
        <v>5</v>
      </c>
      <c r="B77" s="72">
        <v>140.8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50.4</v>
      </c>
      <c r="N77" s="79"/>
      <c r="O77" s="79"/>
      <c r="P77" s="79"/>
      <c r="Q77" s="81"/>
      <c r="R77" s="79"/>
      <c r="S77" s="80"/>
      <c r="T77" s="80"/>
      <c r="U77" s="79"/>
      <c r="V77" s="79">
        <v>90.4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140.8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11.4</v>
      </c>
      <c r="D80" s="67"/>
      <c r="E80" s="79"/>
      <c r="F80" s="79"/>
      <c r="G80" s="79"/>
      <c r="H80" s="79"/>
      <c r="I80" s="79"/>
      <c r="J80" s="80"/>
      <c r="K80" s="79"/>
      <c r="L80" s="80"/>
      <c r="M80" s="79">
        <v>0.1</v>
      </c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11.8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4857+2350-544-257+577.9+722.1</f>
        <v>7706</v>
      </c>
      <c r="C89" s="72">
        <v>1922.699999999997</v>
      </c>
      <c r="D89" s="67"/>
      <c r="E89" s="67">
        <v>90.1</v>
      </c>
      <c r="F89" s="67">
        <v>306.1</v>
      </c>
      <c r="G89" s="67"/>
      <c r="H89" s="67">
        <v>2127.9</v>
      </c>
      <c r="I89" s="67"/>
      <c r="J89" s="72"/>
      <c r="K89" s="67"/>
      <c r="L89" s="72">
        <v>1140.2</v>
      </c>
      <c r="M89" s="67">
        <v>2083.8</v>
      </c>
      <c r="N89" s="67">
        <v>254.9</v>
      </c>
      <c r="O89" s="67"/>
      <c r="P89" s="67">
        <v>496.3</v>
      </c>
      <c r="Q89" s="67">
        <v>147.5</v>
      </c>
      <c r="R89" s="67"/>
      <c r="S89" s="72"/>
      <c r="T89" s="72"/>
      <c r="U89" s="67">
        <v>900</v>
      </c>
      <c r="V89" s="67">
        <v>293.9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7840.7</v>
      </c>
      <c r="AG89" s="72">
        <f t="shared" si="16"/>
        <v>1787.9999999999973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>
        <v>1173.1</v>
      </c>
      <c r="K90" s="67"/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49107.6-2350+651+257-300</f>
        <v>47365.6</v>
      </c>
      <c r="C92" s="72">
        <v>43544.1</v>
      </c>
      <c r="D92" s="67">
        <v>17.3</v>
      </c>
      <c r="E92" s="67"/>
      <c r="F92" s="67">
        <v>2541.9</v>
      </c>
      <c r="G92" s="67">
        <v>4569.6</v>
      </c>
      <c r="H92" s="67"/>
      <c r="I92" s="67">
        <v>200.8</v>
      </c>
      <c r="J92" s="72">
        <v>3996.1</v>
      </c>
      <c r="K92" s="67">
        <v>59.4</v>
      </c>
      <c r="L92" s="72">
        <v>398.6</v>
      </c>
      <c r="M92" s="67">
        <v>4382.3</v>
      </c>
      <c r="N92" s="67">
        <v>345.9</v>
      </c>
      <c r="O92" s="67">
        <v>705.2</v>
      </c>
      <c r="P92" s="67">
        <v>2627.2</v>
      </c>
      <c r="Q92" s="67">
        <v>629.5</v>
      </c>
      <c r="R92" s="67">
        <v>925.5</v>
      </c>
      <c r="S92" s="72">
        <v>30.6</v>
      </c>
      <c r="T92" s="72">
        <v>650</v>
      </c>
      <c r="U92" s="67">
        <v>253.5</v>
      </c>
      <c r="V92" s="67">
        <v>4065.3</v>
      </c>
      <c r="W92" s="67">
        <v>30.9</v>
      </c>
      <c r="X92" s="72">
        <v>21.1</v>
      </c>
      <c r="Y92" s="72"/>
      <c r="Z92" s="72"/>
      <c r="AA92" s="72"/>
      <c r="AB92" s="67"/>
      <c r="AC92" s="67"/>
      <c r="AD92" s="67"/>
      <c r="AE92" s="67"/>
      <c r="AF92" s="71">
        <f t="shared" si="13"/>
        <v>26450.7</v>
      </c>
      <c r="AG92" s="72">
        <f t="shared" si="16"/>
        <v>64459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172033.74549</v>
      </c>
      <c r="C94" s="132">
        <f t="shared" si="17"/>
        <v>104190.64999999998</v>
      </c>
      <c r="D94" s="83">
        <f t="shared" si="17"/>
        <v>652.1999999999999</v>
      </c>
      <c r="E94" s="83">
        <f t="shared" si="17"/>
        <v>3657.8999999999996</v>
      </c>
      <c r="F94" s="83">
        <f t="shared" si="17"/>
        <v>3803.1000000000004</v>
      </c>
      <c r="G94" s="83">
        <f t="shared" si="17"/>
        <v>6459</v>
      </c>
      <c r="H94" s="83">
        <f t="shared" si="17"/>
        <v>3263.7000000000003</v>
      </c>
      <c r="I94" s="83">
        <f t="shared" si="17"/>
        <v>2431.0000000000005</v>
      </c>
      <c r="J94" s="132">
        <f t="shared" si="17"/>
        <v>6228</v>
      </c>
      <c r="K94" s="83">
        <f t="shared" si="17"/>
        <v>13418.9</v>
      </c>
      <c r="L94" s="132">
        <f t="shared" si="17"/>
        <v>15494.6</v>
      </c>
      <c r="M94" s="83">
        <f t="shared" si="17"/>
        <v>9703.400000000001</v>
      </c>
      <c r="N94" s="83">
        <f t="shared" si="17"/>
        <v>4805.5999999999985</v>
      </c>
      <c r="O94" s="83">
        <f t="shared" si="17"/>
        <v>1441.7000000000003</v>
      </c>
      <c r="P94" s="83">
        <f t="shared" si="17"/>
        <v>6120</v>
      </c>
      <c r="Q94" s="83">
        <f t="shared" si="17"/>
        <v>2462.6000000000004</v>
      </c>
      <c r="R94" s="83">
        <f t="shared" si="17"/>
        <v>3874.6</v>
      </c>
      <c r="S94" s="83">
        <f t="shared" si="17"/>
        <v>298.09999999999997</v>
      </c>
      <c r="T94" s="83">
        <f t="shared" si="17"/>
        <v>1177.1999999999998</v>
      </c>
      <c r="U94" s="83">
        <f t="shared" si="17"/>
        <v>3175.6000000000004</v>
      </c>
      <c r="V94" s="83">
        <f t="shared" si="17"/>
        <v>20566.3</v>
      </c>
      <c r="W94" s="83">
        <f t="shared" si="17"/>
        <v>19935.2</v>
      </c>
      <c r="X94" s="83">
        <f t="shared" si="17"/>
        <v>2215.1</v>
      </c>
      <c r="Y94" s="83">
        <f t="shared" si="17"/>
        <v>1173.1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132356.90000000002</v>
      </c>
      <c r="AG94" s="84">
        <f>AG10+AG15+AG24+AG33+AG47+AG52+AG54+AG61+AG62+AG69+AG71+AG72+AG76+AG81+AG82+AG83+AG88+AG89+AG90+AG91+AG70+AG40+AG92</f>
        <v>143867.49548999997</v>
      </c>
    </row>
    <row r="95" spans="1:33" ht="15.75">
      <c r="A95" s="3" t="s">
        <v>5</v>
      </c>
      <c r="B95" s="22">
        <f>B11+B17+B26+B34+B55+B63+B73+B41+B77+B48</f>
        <v>54876.11200000001</v>
      </c>
      <c r="C95" s="109">
        <f aca="true" t="shared" si="18" ref="C95:AD95">C11+C17+C26+C34+C55+C63+C73+C41+C77+C48</f>
        <v>17687.519999999997</v>
      </c>
      <c r="D95" s="67">
        <f t="shared" si="18"/>
        <v>634.9</v>
      </c>
      <c r="E95" s="67">
        <f t="shared" si="18"/>
        <v>2208.3</v>
      </c>
      <c r="F95" s="67">
        <f t="shared" si="18"/>
        <v>118.6</v>
      </c>
      <c r="G95" s="67">
        <f t="shared" si="18"/>
        <v>0</v>
      </c>
      <c r="H95" s="67">
        <f t="shared" si="18"/>
        <v>104.1</v>
      </c>
      <c r="I95" s="67">
        <f t="shared" si="18"/>
        <v>0</v>
      </c>
      <c r="J95" s="72">
        <f t="shared" si="18"/>
        <v>709.5</v>
      </c>
      <c r="K95" s="67">
        <f t="shared" si="18"/>
        <v>13261.6</v>
      </c>
      <c r="L95" s="72">
        <f t="shared" si="18"/>
        <v>3473.2999999999997</v>
      </c>
      <c r="M95" s="67">
        <f t="shared" si="18"/>
        <v>727.5</v>
      </c>
      <c r="N95" s="67">
        <f t="shared" si="18"/>
        <v>0</v>
      </c>
      <c r="O95" s="67">
        <f t="shared" si="18"/>
        <v>469.7</v>
      </c>
      <c r="P95" s="67">
        <f t="shared" si="18"/>
        <v>148.3</v>
      </c>
      <c r="Q95" s="67">
        <f t="shared" si="18"/>
        <v>134.2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15050.6</v>
      </c>
      <c r="W95" s="67">
        <f t="shared" si="18"/>
        <v>5638.800000000001</v>
      </c>
      <c r="X95" s="67">
        <f t="shared" si="18"/>
        <v>1345.8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44025.200000000004</v>
      </c>
      <c r="AG95" s="71">
        <f>B95+C95-AF95</f>
        <v>28538.432000000008</v>
      </c>
    </row>
    <row r="96" spans="1:33" ht="15.75">
      <c r="A96" s="3" t="s">
        <v>2</v>
      </c>
      <c r="B96" s="22">
        <f aca="true" t="shared" si="19" ref="B96:AD96">B12+B20+B29+B36+B57+B66+B44+B80+B74+B53</f>
        <v>1718.562</v>
      </c>
      <c r="C96" s="109">
        <f t="shared" si="19"/>
        <v>3034.3</v>
      </c>
      <c r="D96" s="67">
        <f t="shared" si="19"/>
        <v>0</v>
      </c>
      <c r="E96" s="67">
        <f t="shared" si="19"/>
        <v>80</v>
      </c>
      <c r="F96" s="67">
        <f t="shared" si="19"/>
        <v>543.9000000000001</v>
      </c>
      <c r="G96" s="67">
        <f t="shared" si="19"/>
        <v>58</v>
      </c>
      <c r="H96" s="67">
        <f t="shared" si="19"/>
        <v>29.8</v>
      </c>
      <c r="I96" s="67">
        <f t="shared" si="19"/>
        <v>5</v>
      </c>
      <c r="J96" s="72">
        <f t="shared" si="19"/>
        <v>66</v>
      </c>
      <c r="K96" s="67">
        <f t="shared" si="19"/>
        <v>46.1</v>
      </c>
      <c r="L96" s="72">
        <f t="shared" si="19"/>
        <v>266.59999999999997</v>
      </c>
      <c r="M96" s="67">
        <f t="shared" si="19"/>
        <v>14.7</v>
      </c>
      <c r="N96" s="67">
        <f t="shared" si="19"/>
        <v>6.3999999999999995</v>
      </c>
      <c r="O96" s="67">
        <f t="shared" si="19"/>
        <v>14.9</v>
      </c>
      <c r="P96" s="67">
        <f t="shared" si="19"/>
        <v>0.3</v>
      </c>
      <c r="Q96" s="67">
        <f t="shared" si="19"/>
        <v>105.3</v>
      </c>
      <c r="R96" s="67">
        <f t="shared" si="19"/>
        <v>347.5</v>
      </c>
      <c r="S96" s="67">
        <f t="shared" si="19"/>
        <v>13.9</v>
      </c>
      <c r="T96" s="67">
        <f t="shared" si="19"/>
        <v>13.7</v>
      </c>
      <c r="U96" s="67">
        <f t="shared" si="19"/>
        <v>61.60000000000001</v>
      </c>
      <c r="V96" s="67">
        <f t="shared" si="19"/>
        <v>255.39999999999998</v>
      </c>
      <c r="W96" s="67">
        <f t="shared" si="19"/>
        <v>1.1</v>
      </c>
      <c r="X96" s="67">
        <f t="shared" si="19"/>
        <v>454.6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2384.8</v>
      </c>
      <c r="AG96" s="71">
        <f>B96+C96-AF96</f>
        <v>2368.062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1165.086</v>
      </c>
      <c r="C98" s="109">
        <f t="shared" si="21"/>
        <v>8967.7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90.1</v>
      </c>
      <c r="H98" s="67">
        <f t="shared" si="21"/>
        <v>0.7</v>
      </c>
      <c r="I98" s="67">
        <f t="shared" si="21"/>
        <v>0</v>
      </c>
      <c r="J98" s="72">
        <f t="shared" si="21"/>
        <v>0</v>
      </c>
      <c r="K98" s="67">
        <f t="shared" si="21"/>
        <v>0</v>
      </c>
      <c r="L98" s="72">
        <f t="shared" si="21"/>
        <v>4.2</v>
      </c>
      <c r="M98" s="67">
        <f t="shared" si="21"/>
        <v>594.1</v>
      </c>
      <c r="N98" s="67">
        <f t="shared" si="21"/>
        <v>2631.3999999999996</v>
      </c>
      <c r="O98" s="67">
        <f t="shared" si="21"/>
        <v>0</v>
      </c>
      <c r="P98" s="67">
        <f t="shared" si="21"/>
        <v>0</v>
      </c>
      <c r="Q98" s="67">
        <f t="shared" si="21"/>
        <v>77.10000000000001</v>
      </c>
      <c r="R98" s="67">
        <f t="shared" si="21"/>
        <v>0</v>
      </c>
      <c r="S98" s="67">
        <f t="shared" si="21"/>
        <v>0</v>
      </c>
      <c r="T98" s="67">
        <f t="shared" si="21"/>
        <v>95.5</v>
      </c>
      <c r="U98" s="67">
        <f t="shared" si="21"/>
        <v>0</v>
      </c>
      <c r="V98" s="67">
        <f t="shared" si="21"/>
        <v>14</v>
      </c>
      <c r="W98" s="67">
        <f t="shared" si="21"/>
        <v>15.6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3522.6999999999994</v>
      </c>
      <c r="AG98" s="71">
        <f>B98+C98-AF98</f>
        <v>6610.086000000001</v>
      </c>
    </row>
    <row r="99" spans="1:33" ht="15.75">
      <c r="A99" s="3" t="s">
        <v>16</v>
      </c>
      <c r="B99" s="22">
        <f aca="true" t="shared" si="22" ref="B99:X99">B21+B30+B49+B37+B58+B13+B75+B67</f>
        <v>3274.766</v>
      </c>
      <c r="C99" s="109">
        <f t="shared" si="22"/>
        <v>2462.57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248.59999999999997</v>
      </c>
      <c r="H99" s="67">
        <f t="shared" si="22"/>
        <v>0</v>
      </c>
      <c r="I99" s="67">
        <f t="shared" si="22"/>
        <v>46.6</v>
      </c>
      <c r="J99" s="72">
        <f t="shared" si="22"/>
        <v>0</v>
      </c>
      <c r="K99" s="67">
        <f t="shared" si="22"/>
        <v>5.5</v>
      </c>
      <c r="L99" s="72">
        <f t="shared" si="22"/>
        <v>312.1</v>
      </c>
      <c r="M99" s="67">
        <f t="shared" si="22"/>
        <v>324.9</v>
      </c>
      <c r="N99" s="67">
        <f t="shared" si="22"/>
        <v>0</v>
      </c>
      <c r="O99" s="67">
        <f t="shared" si="22"/>
        <v>12.1</v>
      </c>
      <c r="P99" s="67">
        <f t="shared" si="22"/>
        <v>192</v>
      </c>
      <c r="Q99" s="67">
        <f t="shared" si="22"/>
        <v>289.1</v>
      </c>
      <c r="R99" s="67">
        <f t="shared" si="22"/>
        <v>0</v>
      </c>
      <c r="S99" s="67">
        <f t="shared" si="22"/>
        <v>0</v>
      </c>
      <c r="T99" s="67">
        <f t="shared" si="22"/>
        <v>143.6</v>
      </c>
      <c r="U99" s="67">
        <f t="shared" si="22"/>
        <v>42.2</v>
      </c>
      <c r="V99" s="67">
        <f t="shared" si="22"/>
        <v>8.4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1625.1000000000001</v>
      </c>
      <c r="AG99" s="71">
        <f>B99+C99-AF99</f>
        <v>4112.236</v>
      </c>
    </row>
    <row r="100" spans="1:33" ht="12.75">
      <c r="A100" s="1" t="s">
        <v>35</v>
      </c>
      <c r="B100" s="2">
        <f aca="true" t="shared" si="24" ref="B100:AD100">B94-B95-B96-B97-B98-B99</f>
        <v>110999.21948999999</v>
      </c>
      <c r="C100" s="20">
        <f t="shared" si="24"/>
        <v>72028.25999999997</v>
      </c>
      <c r="D100" s="85">
        <f t="shared" si="24"/>
        <v>17.299999999999955</v>
      </c>
      <c r="E100" s="85">
        <f t="shared" si="24"/>
        <v>1369.5999999999995</v>
      </c>
      <c r="F100" s="85">
        <f t="shared" si="24"/>
        <v>3140.6000000000004</v>
      </c>
      <c r="G100" s="85">
        <f t="shared" si="24"/>
        <v>6062.299999999999</v>
      </c>
      <c r="H100" s="85">
        <f t="shared" si="24"/>
        <v>3129.1000000000004</v>
      </c>
      <c r="I100" s="85">
        <f t="shared" si="24"/>
        <v>2379.4000000000005</v>
      </c>
      <c r="J100" s="131">
        <f t="shared" si="24"/>
        <v>5452.5</v>
      </c>
      <c r="K100" s="85">
        <f t="shared" si="24"/>
        <v>105.69999999999928</v>
      </c>
      <c r="L100" s="131">
        <f t="shared" si="24"/>
        <v>11438.4</v>
      </c>
      <c r="M100" s="85">
        <f t="shared" si="24"/>
        <v>8042.200000000001</v>
      </c>
      <c r="N100" s="85">
        <f t="shared" si="24"/>
        <v>2167.7999999999993</v>
      </c>
      <c r="O100" s="85">
        <f t="shared" si="24"/>
        <v>945.0000000000002</v>
      </c>
      <c r="P100" s="85">
        <f t="shared" si="24"/>
        <v>5779.4</v>
      </c>
      <c r="Q100" s="85">
        <f t="shared" si="24"/>
        <v>1856.9000000000005</v>
      </c>
      <c r="R100" s="85">
        <f t="shared" si="24"/>
        <v>3527.1</v>
      </c>
      <c r="S100" s="85">
        <f t="shared" si="24"/>
        <v>284.2</v>
      </c>
      <c r="T100" s="85">
        <f t="shared" si="24"/>
        <v>924.3999999999997</v>
      </c>
      <c r="U100" s="85">
        <f t="shared" si="24"/>
        <v>3071.8000000000006</v>
      </c>
      <c r="V100" s="85">
        <f t="shared" si="24"/>
        <v>5237.9</v>
      </c>
      <c r="W100" s="85">
        <f t="shared" si="24"/>
        <v>14279.699999999999</v>
      </c>
      <c r="X100" s="85">
        <f t="shared" si="24"/>
        <v>414.69999999999993</v>
      </c>
      <c r="Y100" s="85">
        <f t="shared" si="24"/>
        <v>1173.1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80799.1</v>
      </c>
      <c r="AG100" s="85">
        <f>AG94-AG95-AG96-AG97-AG98-AG99</f>
        <v>102228.37948999996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47" sqref="B47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69</v>
      </c>
      <c r="C4" s="90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19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23665.6</v>
      </c>
      <c r="C7" s="129">
        <v>17602.95000000001</v>
      </c>
      <c r="D7" s="38"/>
      <c r="E7" s="38">
        <v>11832.8</v>
      </c>
      <c r="F7" s="38"/>
      <c r="G7" s="38"/>
      <c r="H7" s="56"/>
      <c r="I7" s="38"/>
      <c r="J7" s="39"/>
      <c r="K7" s="38"/>
      <c r="L7" s="39">
        <v>11832.8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13091.150000000009</v>
      </c>
      <c r="AF7" s="54"/>
      <c r="AG7" s="40"/>
    </row>
    <row r="8" spans="1:55" ht="18" customHeight="1">
      <c r="A8" s="47" t="s">
        <v>30</v>
      </c>
      <c r="B8" s="33">
        <f>SUM(E8:AB8)</f>
        <v>140428.06999999998</v>
      </c>
      <c r="C8" s="103">
        <v>131589.87000000008</v>
      </c>
      <c r="D8" s="59">
        <v>8922.7</v>
      </c>
      <c r="E8" s="60">
        <v>3619</v>
      </c>
      <c r="F8" s="137">
        <v>3587.9</v>
      </c>
      <c r="G8" s="137">
        <v>4530.7</v>
      </c>
      <c r="H8" s="137">
        <v>9731.1</v>
      </c>
      <c r="I8" s="137">
        <v>15215.1</v>
      </c>
      <c r="J8" s="138">
        <v>3464.1</v>
      </c>
      <c r="K8" s="138">
        <v>3290.6</v>
      </c>
      <c r="L8" s="138">
        <v>3454.7</v>
      </c>
      <c r="M8" s="137">
        <v>3131.5</v>
      </c>
      <c r="N8" s="137">
        <v>5652.8</v>
      </c>
      <c r="O8" s="137">
        <v>15460.9</v>
      </c>
      <c r="P8" s="137">
        <v>7148.9</v>
      </c>
      <c r="Q8" s="137">
        <v>8667.3</v>
      </c>
      <c r="R8" s="137">
        <v>8497.97</v>
      </c>
      <c r="S8" s="63">
        <v>3848.3</v>
      </c>
      <c r="T8" s="63">
        <v>5674.9</v>
      </c>
      <c r="U8" s="61">
        <v>6167</v>
      </c>
      <c r="V8" s="61">
        <v>5444.2</v>
      </c>
      <c r="W8" s="61">
        <v>4328.2</v>
      </c>
      <c r="X8" s="62">
        <v>5423.4</v>
      </c>
      <c r="Y8" s="62">
        <v>14089.5</v>
      </c>
      <c r="Z8" s="62"/>
      <c r="AA8" s="62"/>
      <c r="AB8" s="61"/>
      <c r="AC8" s="64"/>
      <c r="AD8" s="64"/>
      <c r="AE8" s="65">
        <f>SUM(D8:AD8)+C8-AF9+AF16+AF25</f>
        <v>175461.74000000005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160438.53</v>
      </c>
      <c r="C9" s="104">
        <f aca="true" t="shared" si="0" ref="C9:AD9">C10+C15+C24+C33+C47+C52+C54+C61+C62+C71+C72+C88+C76+C81+C83+C82+C69+C89+C90+C91+C70+C40+C92</f>
        <v>143867.49548999997</v>
      </c>
      <c r="D9" s="68">
        <f t="shared" si="0"/>
        <v>1052.9</v>
      </c>
      <c r="E9" s="68">
        <f t="shared" si="0"/>
        <v>2559.4</v>
      </c>
      <c r="F9" s="68">
        <f t="shared" si="0"/>
        <v>4458.700000000001</v>
      </c>
      <c r="G9" s="68">
        <f t="shared" si="0"/>
        <v>1105.1</v>
      </c>
      <c r="H9" s="68">
        <f t="shared" si="0"/>
        <v>3533.4</v>
      </c>
      <c r="I9" s="68">
        <f t="shared" si="0"/>
        <v>1003.1</v>
      </c>
      <c r="J9" s="104">
        <f t="shared" si="0"/>
        <v>2627.6000000000004</v>
      </c>
      <c r="K9" s="68">
        <f t="shared" si="0"/>
        <v>5664.0999999999985</v>
      </c>
      <c r="L9" s="104">
        <f>L10+L15+L24+L33+L47+L52+L54+L61+L62+L71+L72+L88+L76+L81+L83+L82+L69+L89+L90+L91+L70+L40+L92</f>
        <v>26307.600000000006</v>
      </c>
      <c r="M9" s="68">
        <f t="shared" si="0"/>
        <v>4350.1</v>
      </c>
      <c r="N9" s="68">
        <f t="shared" si="0"/>
        <v>843.6</v>
      </c>
      <c r="O9" s="68">
        <f t="shared" si="0"/>
        <v>2425.2</v>
      </c>
      <c r="P9" s="68">
        <f t="shared" si="0"/>
        <v>3506.6</v>
      </c>
      <c r="Q9" s="68">
        <f t="shared" si="0"/>
        <v>2665.4</v>
      </c>
      <c r="R9" s="68">
        <f t="shared" si="0"/>
        <v>7658.799999999999</v>
      </c>
      <c r="S9" s="68">
        <f t="shared" si="0"/>
        <v>1543.5</v>
      </c>
      <c r="T9" s="68">
        <f t="shared" si="0"/>
        <v>2242.3</v>
      </c>
      <c r="U9" s="68">
        <f t="shared" si="0"/>
        <v>3056.4000000000005</v>
      </c>
      <c r="V9" s="68">
        <f t="shared" si="0"/>
        <v>44473.00000000001</v>
      </c>
      <c r="W9" s="68">
        <f t="shared" si="0"/>
        <v>10102.900000000001</v>
      </c>
      <c r="X9" s="68">
        <f t="shared" si="0"/>
        <v>564.5</v>
      </c>
      <c r="Y9" s="68">
        <f t="shared" si="0"/>
        <v>1912.1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133656.30000000002</v>
      </c>
      <c r="AG9" s="69">
        <f>AG10+AG15+AG24+AG33+AG47+AG52+AG54+AG61+AG62+AG71+AG72+AG76+AG88+AG81+AG83+AG82+AG69+AG89+AG91+AG90+AG70+AG40+AG92</f>
        <v>170649.72548999998</v>
      </c>
      <c r="AH9" s="41"/>
      <c r="AI9" s="41"/>
    </row>
    <row r="10" spans="1:34" ht="15.75">
      <c r="A10" s="4" t="s">
        <v>4</v>
      </c>
      <c r="B10" s="72">
        <f>16579.7+90+100</f>
        <v>16769.7</v>
      </c>
      <c r="C10" s="72">
        <v>5057.100000000002</v>
      </c>
      <c r="D10" s="67">
        <v>289.5</v>
      </c>
      <c r="E10" s="67">
        <v>159.5</v>
      </c>
      <c r="F10" s="67">
        <v>45.5</v>
      </c>
      <c r="G10" s="67">
        <v>272.9</v>
      </c>
      <c r="H10" s="67">
        <v>6.4</v>
      </c>
      <c r="I10" s="67">
        <v>15</v>
      </c>
      <c r="J10" s="70">
        <v>651.4</v>
      </c>
      <c r="K10" s="67">
        <v>20.5</v>
      </c>
      <c r="L10" s="72">
        <v>4031.5</v>
      </c>
      <c r="M10" s="67">
        <v>1228.8</v>
      </c>
      <c r="N10" s="67">
        <v>14.4</v>
      </c>
      <c r="O10" s="71">
        <v>48.8</v>
      </c>
      <c r="P10" s="67">
        <v>1386</v>
      </c>
      <c r="Q10" s="67">
        <v>67.5</v>
      </c>
      <c r="R10" s="67">
        <v>144.7</v>
      </c>
      <c r="S10" s="72">
        <v>15.5</v>
      </c>
      <c r="T10" s="72">
        <v>25.5</v>
      </c>
      <c r="U10" s="72">
        <v>4.2</v>
      </c>
      <c r="V10" s="72">
        <v>2151.2</v>
      </c>
      <c r="W10" s="72">
        <v>5814.1</v>
      </c>
      <c r="X10" s="67">
        <v>511.4</v>
      </c>
      <c r="Y10" s="71">
        <v>1.5</v>
      </c>
      <c r="Z10" s="72"/>
      <c r="AA10" s="72"/>
      <c r="AB10" s="67"/>
      <c r="AC10" s="67"/>
      <c r="AD10" s="67"/>
      <c r="AE10" s="67"/>
      <c r="AF10" s="67">
        <f>SUM(D10:AD10)</f>
        <v>16905.800000000003</v>
      </c>
      <c r="AG10" s="72">
        <f>B10+C10-AF10</f>
        <v>4921</v>
      </c>
      <c r="AH10" s="18"/>
    </row>
    <row r="11" spans="1:34" ht="15.75">
      <c r="A11" s="3" t="s">
        <v>5</v>
      </c>
      <c r="B11" s="72">
        <f>15580.5+150+9.9</f>
        <v>15740.4</v>
      </c>
      <c r="C11" s="72">
        <v>2547.8200000000033</v>
      </c>
      <c r="D11" s="67">
        <v>285.5</v>
      </c>
      <c r="E11" s="67">
        <v>155.8</v>
      </c>
      <c r="F11" s="67"/>
      <c r="G11" s="67">
        <v>262.1</v>
      </c>
      <c r="H11" s="67"/>
      <c r="I11" s="67"/>
      <c r="J11" s="72">
        <v>565.9</v>
      </c>
      <c r="K11" s="67"/>
      <c r="L11" s="72">
        <v>4021.2</v>
      </c>
      <c r="M11" s="67">
        <v>1139.1</v>
      </c>
      <c r="N11" s="67"/>
      <c r="O11" s="71">
        <v>19.7</v>
      </c>
      <c r="P11" s="67"/>
      <c r="Q11" s="67">
        <v>57.6</v>
      </c>
      <c r="R11" s="67">
        <v>141</v>
      </c>
      <c r="S11" s="72"/>
      <c r="T11" s="72"/>
      <c r="U11" s="72"/>
      <c r="V11" s="72">
        <v>1947.8</v>
      </c>
      <c r="W11" s="72">
        <v>5728.1</v>
      </c>
      <c r="X11" s="67">
        <v>511.4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14835.2</v>
      </c>
      <c r="AG11" s="72">
        <f>B11+C11-AF11</f>
        <v>3453.0200000000004</v>
      </c>
      <c r="AH11" s="18"/>
    </row>
    <row r="12" spans="1:34" ht="15.75">
      <c r="A12" s="3" t="s">
        <v>2</v>
      </c>
      <c r="B12" s="70">
        <f>98.6-17.3-4.5</f>
        <v>76.8</v>
      </c>
      <c r="C12" s="72">
        <v>294.69999999999993</v>
      </c>
      <c r="D12" s="67"/>
      <c r="E12" s="67"/>
      <c r="F12" s="67">
        <v>4.3</v>
      </c>
      <c r="G12" s="67"/>
      <c r="H12" s="67"/>
      <c r="I12" s="67"/>
      <c r="J12" s="72">
        <v>22</v>
      </c>
      <c r="K12" s="67"/>
      <c r="L12" s="72"/>
      <c r="M12" s="67"/>
      <c r="N12" s="67">
        <v>2.1</v>
      </c>
      <c r="O12" s="71"/>
      <c r="P12" s="67"/>
      <c r="Q12" s="67"/>
      <c r="R12" s="67"/>
      <c r="S12" s="72"/>
      <c r="T12" s="72"/>
      <c r="U12" s="72"/>
      <c r="V12" s="72">
        <v>65.9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94.30000000000001</v>
      </c>
      <c r="AG12" s="72">
        <f>B12+C12-AF12</f>
        <v>277.19999999999993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952.5000000000011</v>
      </c>
      <c r="C14" s="72">
        <v>2218.9800000000005</v>
      </c>
      <c r="D14" s="67">
        <f t="shared" si="2"/>
        <v>4</v>
      </c>
      <c r="E14" s="67">
        <f t="shared" si="2"/>
        <v>3.6999999999999886</v>
      </c>
      <c r="F14" s="67">
        <f t="shared" si="2"/>
        <v>41.2</v>
      </c>
      <c r="G14" s="67">
        <f t="shared" si="2"/>
        <v>10.799999999999955</v>
      </c>
      <c r="H14" s="67">
        <f t="shared" si="2"/>
        <v>6.4</v>
      </c>
      <c r="I14" s="67">
        <f t="shared" si="2"/>
        <v>15</v>
      </c>
      <c r="J14" s="72">
        <f t="shared" si="2"/>
        <v>63.5</v>
      </c>
      <c r="K14" s="67">
        <f t="shared" si="2"/>
        <v>20.5</v>
      </c>
      <c r="L14" s="72">
        <f t="shared" si="2"/>
        <v>10.300000000000182</v>
      </c>
      <c r="M14" s="67">
        <f t="shared" si="2"/>
        <v>89.70000000000005</v>
      </c>
      <c r="N14" s="67">
        <f t="shared" si="2"/>
        <v>12.3</v>
      </c>
      <c r="O14" s="67">
        <f t="shared" si="2"/>
        <v>29.099999999999998</v>
      </c>
      <c r="P14" s="67">
        <f t="shared" si="2"/>
        <v>1386</v>
      </c>
      <c r="Q14" s="67">
        <f t="shared" si="2"/>
        <v>9.899999999999999</v>
      </c>
      <c r="R14" s="67">
        <f t="shared" si="2"/>
        <v>3.6999999999999886</v>
      </c>
      <c r="S14" s="67">
        <f t="shared" si="2"/>
        <v>15.5</v>
      </c>
      <c r="T14" s="67">
        <f t="shared" si="2"/>
        <v>25.5</v>
      </c>
      <c r="U14" s="67">
        <f t="shared" si="2"/>
        <v>4.2</v>
      </c>
      <c r="V14" s="67">
        <f t="shared" si="2"/>
        <v>137.49999999999986</v>
      </c>
      <c r="W14" s="67">
        <f t="shared" si="2"/>
        <v>86</v>
      </c>
      <c r="X14" s="67">
        <f t="shared" si="2"/>
        <v>0</v>
      </c>
      <c r="Y14" s="67">
        <f t="shared" si="2"/>
        <v>1.5</v>
      </c>
      <c r="Z14" s="67"/>
      <c r="AA14" s="67"/>
      <c r="AB14" s="67"/>
      <c r="AC14" s="67"/>
      <c r="AD14" s="67"/>
      <c r="AE14" s="67"/>
      <c r="AF14" s="71">
        <f t="shared" si="1"/>
        <v>1976.3000000000002</v>
      </c>
      <c r="AG14" s="72">
        <f>AG10-AG11-AG12-AG13</f>
        <v>1190.7799999999997</v>
      </c>
      <c r="AH14" s="18"/>
    </row>
    <row r="15" spans="1:35" ht="15" customHeight="1">
      <c r="A15" s="4" t="s">
        <v>6</v>
      </c>
      <c r="B15" s="72">
        <v>31636.76</v>
      </c>
      <c r="C15" s="72">
        <v>39759.90000000001</v>
      </c>
      <c r="D15" s="73">
        <v>196.9</v>
      </c>
      <c r="E15" s="73"/>
      <c r="F15" s="67">
        <v>302.6</v>
      </c>
      <c r="G15" s="67">
        <v>3.4</v>
      </c>
      <c r="H15" s="67">
        <v>241.5</v>
      </c>
      <c r="I15" s="67"/>
      <c r="J15" s="72">
        <v>564.1</v>
      </c>
      <c r="K15" s="67">
        <v>409.7</v>
      </c>
      <c r="L15" s="72">
        <f>6351.3+3426.1</f>
        <v>9777.4</v>
      </c>
      <c r="M15" s="67">
        <v>7.2</v>
      </c>
      <c r="N15" s="67">
        <v>332.8</v>
      </c>
      <c r="O15" s="71">
        <v>139.8</v>
      </c>
      <c r="P15" s="67">
        <v>550.1</v>
      </c>
      <c r="Q15" s="71">
        <v>403.6</v>
      </c>
      <c r="R15" s="67">
        <v>248.7</v>
      </c>
      <c r="S15" s="72">
        <v>118</v>
      </c>
      <c r="T15" s="72">
        <v>417.3</v>
      </c>
      <c r="U15" s="72">
        <v>700.2</v>
      </c>
      <c r="V15" s="72">
        <f>14138.1+9016.3</f>
        <v>23154.4</v>
      </c>
      <c r="W15" s="72">
        <v>1439.5</v>
      </c>
      <c r="X15" s="67">
        <v>19.4</v>
      </c>
      <c r="Y15" s="72"/>
      <c r="Z15" s="72"/>
      <c r="AA15" s="72"/>
      <c r="AB15" s="67"/>
      <c r="AC15" s="67"/>
      <c r="AD15" s="67"/>
      <c r="AE15" s="67"/>
      <c r="AF15" s="71">
        <f t="shared" si="1"/>
        <v>39026.600000000006</v>
      </c>
      <c r="AG15" s="72">
        <f aca="true" t="shared" si="3" ref="AG15:AG31">B15+C15-AF15</f>
        <v>32370.059999999998</v>
      </c>
      <c r="AH15" s="18"/>
      <c r="AI15" s="86"/>
    </row>
    <row r="16" spans="1:34" s="53" customFormat="1" ht="15" customHeight="1">
      <c r="A16" s="51" t="s">
        <v>38</v>
      </c>
      <c r="B16" s="76">
        <v>7970.8</v>
      </c>
      <c r="C16" s="76">
        <v>11700.699999999999</v>
      </c>
      <c r="D16" s="74"/>
      <c r="E16" s="74"/>
      <c r="F16" s="75"/>
      <c r="G16" s="75"/>
      <c r="H16" s="75"/>
      <c r="I16" s="75"/>
      <c r="J16" s="76"/>
      <c r="K16" s="75"/>
      <c r="L16" s="76">
        <v>3426.1</v>
      </c>
      <c r="M16" s="75"/>
      <c r="N16" s="75"/>
      <c r="O16" s="77"/>
      <c r="P16" s="75"/>
      <c r="Q16" s="77"/>
      <c r="R16" s="75"/>
      <c r="S16" s="76"/>
      <c r="T16" s="76"/>
      <c r="U16" s="76"/>
      <c r="V16" s="76">
        <v>9016.3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12442.4</v>
      </c>
      <c r="AG16" s="115">
        <f t="shared" si="3"/>
        <v>7229.1</v>
      </c>
      <c r="AH16" s="116"/>
    </row>
    <row r="17" spans="1:34" ht="15.75">
      <c r="A17" s="3" t="s">
        <v>5</v>
      </c>
      <c r="B17" s="72">
        <f>25488.4+155.1</f>
        <v>25643.5</v>
      </c>
      <c r="C17" s="72">
        <v>24387.91999999999</v>
      </c>
      <c r="D17" s="67">
        <v>196.9</v>
      </c>
      <c r="E17" s="67"/>
      <c r="F17" s="67">
        <v>34</v>
      </c>
      <c r="G17" s="67"/>
      <c r="H17" s="67"/>
      <c r="I17" s="67"/>
      <c r="J17" s="72"/>
      <c r="K17" s="67"/>
      <c r="L17" s="72">
        <f>6342.3+3426.1</f>
        <v>9768.4</v>
      </c>
      <c r="M17" s="67">
        <v>7.2</v>
      </c>
      <c r="N17" s="67"/>
      <c r="O17" s="71"/>
      <c r="P17" s="67"/>
      <c r="Q17" s="71"/>
      <c r="R17" s="67"/>
      <c r="S17" s="72"/>
      <c r="T17" s="72"/>
      <c r="U17" s="72"/>
      <c r="V17" s="72">
        <f>14002.4+9016.3</f>
        <v>23018.699999999997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33025.2</v>
      </c>
      <c r="AG17" s="72">
        <f t="shared" si="3"/>
        <v>17006.219999999994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2479.9-155.1</f>
        <v>2324.8</v>
      </c>
      <c r="C19" s="72">
        <v>6377.2</v>
      </c>
      <c r="D19" s="67"/>
      <c r="E19" s="67"/>
      <c r="F19" s="67">
        <v>9.1</v>
      </c>
      <c r="G19" s="67"/>
      <c r="H19" s="67">
        <v>87.5</v>
      </c>
      <c r="I19" s="67"/>
      <c r="J19" s="72">
        <v>10.5</v>
      </c>
      <c r="K19" s="67">
        <v>63.4</v>
      </c>
      <c r="L19" s="72"/>
      <c r="M19" s="67"/>
      <c r="N19" s="67">
        <v>226.3</v>
      </c>
      <c r="O19" s="71">
        <v>28</v>
      </c>
      <c r="P19" s="67"/>
      <c r="Q19" s="71">
        <v>24.4</v>
      </c>
      <c r="R19" s="67">
        <v>70.3</v>
      </c>
      <c r="S19" s="72"/>
      <c r="T19" s="72">
        <v>1.5</v>
      </c>
      <c r="U19" s="72">
        <v>8.2</v>
      </c>
      <c r="V19" s="72"/>
      <c r="W19" s="72">
        <v>1383.7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1912.9</v>
      </c>
      <c r="AG19" s="72">
        <f t="shared" si="3"/>
        <v>6789.1</v>
      </c>
      <c r="AH19" s="18"/>
    </row>
    <row r="20" spans="1:34" ht="15.75">
      <c r="A20" s="3" t="s">
        <v>2</v>
      </c>
      <c r="B20" s="72">
        <v>848.4</v>
      </c>
      <c r="C20" s="72">
        <v>1105.65</v>
      </c>
      <c r="D20" s="67"/>
      <c r="E20" s="67"/>
      <c r="F20" s="67">
        <v>30.5</v>
      </c>
      <c r="G20" s="67"/>
      <c r="H20" s="67"/>
      <c r="I20" s="67"/>
      <c r="J20" s="72">
        <v>135</v>
      </c>
      <c r="K20" s="67">
        <v>11.8</v>
      </c>
      <c r="L20" s="72"/>
      <c r="M20" s="67"/>
      <c r="N20" s="67">
        <v>4.2</v>
      </c>
      <c r="O20" s="71">
        <v>14.2</v>
      </c>
      <c r="P20" s="67">
        <v>88</v>
      </c>
      <c r="Q20" s="71">
        <v>274.6</v>
      </c>
      <c r="R20" s="67">
        <v>15.1</v>
      </c>
      <c r="S20" s="72">
        <v>10.4</v>
      </c>
      <c r="T20" s="72">
        <v>114.9</v>
      </c>
      <c r="U20" s="72">
        <v>3.6</v>
      </c>
      <c r="V20" s="72">
        <v>1.3</v>
      </c>
      <c r="W20" s="72">
        <v>1.9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705.4999999999999</v>
      </c>
      <c r="AG20" s="72">
        <f t="shared" si="3"/>
        <v>1248.5500000000002</v>
      </c>
      <c r="AH20" s="18"/>
    </row>
    <row r="21" spans="1:34" ht="15.75">
      <c r="A21" s="3" t="s">
        <v>16</v>
      </c>
      <c r="B21" s="72">
        <v>579.4</v>
      </c>
      <c r="C21" s="72">
        <v>238</v>
      </c>
      <c r="D21" s="67"/>
      <c r="E21" s="67"/>
      <c r="F21" s="67">
        <v>97.5</v>
      </c>
      <c r="G21" s="67"/>
      <c r="H21" s="67"/>
      <c r="I21" s="67"/>
      <c r="J21" s="72">
        <v>11</v>
      </c>
      <c r="K21" s="67">
        <v>91.4</v>
      </c>
      <c r="L21" s="72"/>
      <c r="M21" s="67"/>
      <c r="N21" s="67"/>
      <c r="O21" s="71">
        <v>97.6</v>
      </c>
      <c r="P21" s="67"/>
      <c r="Q21" s="71">
        <v>10.6</v>
      </c>
      <c r="R21" s="67"/>
      <c r="S21" s="72"/>
      <c r="T21" s="72"/>
      <c r="U21" s="67">
        <v>295.3</v>
      </c>
      <c r="V21" s="67">
        <v>0.4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603.8000000000001</v>
      </c>
      <c r="AG21" s="72">
        <f t="shared" si="3"/>
        <v>213.5999999999999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2240.659999999998</v>
      </c>
      <c r="C23" s="72">
        <v>7549.7210000000105</v>
      </c>
      <c r="D23" s="67">
        <f t="shared" si="4"/>
        <v>0</v>
      </c>
      <c r="E23" s="67">
        <f t="shared" si="4"/>
        <v>0</v>
      </c>
      <c r="F23" s="67">
        <f t="shared" si="4"/>
        <v>131.5</v>
      </c>
      <c r="G23" s="67">
        <f t="shared" si="4"/>
        <v>3.4</v>
      </c>
      <c r="H23" s="67">
        <f t="shared" si="4"/>
        <v>154</v>
      </c>
      <c r="I23" s="67">
        <f t="shared" si="4"/>
        <v>0</v>
      </c>
      <c r="J23" s="72">
        <f t="shared" si="4"/>
        <v>407.6</v>
      </c>
      <c r="K23" s="67">
        <f t="shared" si="4"/>
        <v>243.1</v>
      </c>
      <c r="L23" s="72">
        <f t="shared" si="4"/>
        <v>9</v>
      </c>
      <c r="M23" s="67">
        <f t="shared" si="4"/>
        <v>0</v>
      </c>
      <c r="N23" s="67">
        <f t="shared" si="4"/>
        <v>102.3</v>
      </c>
      <c r="O23" s="67">
        <f t="shared" si="4"/>
        <v>1.4210854715202004E-14</v>
      </c>
      <c r="P23" s="67">
        <f t="shared" si="4"/>
        <v>462.1</v>
      </c>
      <c r="Q23" s="67">
        <f t="shared" si="4"/>
        <v>94.00000000000003</v>
      </c>
      <c r="R23" s="67">
        <f t="shared" si="4"/>
        <v>163.29999999999998</v>
      </c>
      <c r="S23" s="67">
        <f t="shared" si="4"/>
        <v>107.6</v>
      </c>
      <c r="T23" s="67">
        <f t="shared" si="4"/>
        <v>300.9</v>
      </c>
      <c r="U23" s="67">
        <f t="shared" si="4"/>
        <v>393.09999999999997</v>
      </c>
      <c r="V23" s="67">
        <f t="shared" si="4"/>
        <v>134.00000000000435</v>
      </c>
      <c r="W23" s="67">
        <f t="shared" si="4"/>
        <v>53.899999999999956</v>
      </c>
      <c r="X23" s="67">
        <f t="shared" si="4"/>
        <v>19.4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2779.2000000000044</v>
      </c>
      <c r="AG23" s="72">
        <f>B23+C23-AF23</f>
        <v>7011.181000000004</v>
      </c>
      <c r="AH23" s="18"/>
    </row>
    <row r="24" spans="1:35" ht="15" customHeight="1">
      <c r="A24" s="4" t="s">
        <v>7</v>
      </c>
      <c r="B24" s="72">
        <v>24552.8</v>
      </c>
      <c r="C24" s="72">
        <v>14597.199999999983</v>
      </c>
      <c r="D24" s="67"/>
      <c r="E24" s="67"/>
      <c r="F24" s="67"/>
      <c r="G24" s="67">
        <v>323.6</v>
      </c>
      <c r="H24" s="67"/>
      <c r="I24" s="67"/>
      <c r="J24" s="72"/>
      <c r="K24" s="67">
        <f>1214.5+919.1</f>
        <v>2133.6</v>
      </c>
      <c r="L24" s="72">
        <f>586.1+8962.4</f>
        <v>9548.5</v>
      </c>
      <c r="M24" s="67"/>
      <c r="N24" s="67">
        <v>1.3</v>
      </c>
      <c r="O24" s="71">
        <v>292.6</v>
      </c>
      <c r="P24" s="67">
        <v>401</v>
      </c>
      <c r="Q24" s="71">
        <v>203.1</v>
      </c>
      <c r="R24" s="71">
        <v>11.8</v>
      </c>
      <c r="S24" s="72"/>
      <c r="T24" s="72"/>
      <c r="U24" s="72">
        <v>657.3</v>
      </c>
      <c r="V24" s="72">
        <f>8394.8+4603.2</f>
        <v>12998</v>
      </c>
      <c r="W24" s="72">
        <v>59.8</v>
      </c>
      <c r="X24" s="67">
        <v>20.7</v>
      </c>
      <c r="Y24" s="72"/>
      <c r="Z24" s="72"/>
      <c r="AA24" s="72"/>
      <c r="AB24" s="67"/>
      <c r="AC24" s="67"/>
      <c r="AD24" s="67"/>
      <c r="AE24" s="67"/>
      <c r="AF24" s="71">
        <f t="shared" si="1"/>
        <v>26651.3</v>
      </c>
      <c r="AG24" s="72">
        <f t="shared" si="3"/>
        <v>12498.699999999986</v>
      </c>
      <c r="AI24" s="86"/>
    </row>
    <row r="25" spans="1:35" s="117" customFormat="1" ht="15" customHeight="1">
      <c r="A25" s="113" t="s">
        <v>39</v>
      </c>
      <c r="B25" s="76">
        <v>15694.8</v>
      </c>
      <c r="C25" s="76">
        <v>308.09999999999854</v>
      </c>
      <c r="D25" s="76"/>
      <c r="E25" s="76"/>
      <c r="F25" s="76"/>
      <c r="G25" s="76">
        <v>260.2</v>
      </c>
      <c r="H25" s="76"/>
      <c r="I25" s="76"/>
      <c r="J25" s="76"/>
      <c r="K25" s="76">
        <v>919.1</v>
      </c>
      <c r="L25" s="76">
        <v>8962.4</v>
      </c>
      <c r="M25" s="76"/>
      <c r="N25" s="76"/>
      <c r="O25" s="76"/>
      <c r="P25" s="76">
        <v>332.1</v>
      </c>
      <c r="Q25" s="76">
        <v>203.1</v>
      </c>
      <c r="R25" s="76">
        <v>11.8</v>
      </c>
      <c r="S25" s="76"/>
      <c r="T25" s="76"/>
      <c r="U25" s="76">
        <v>443.1</v>
      </c>
      <c r="V25" s="76">
        <v>4603.2</v>
      </c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15735</v>
      </c>
      <c r="AG25" s="115">
        <f t="shared" si="3"/>
        <v>267.8999999999978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24552.8</v>
      </c>
      <c r="C32" s="72">
        <v>14597.399999999983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323.6</v>
      </c>
      <c r="H32" s="67">
        <f t="shared" si="5"/>
        <v>0</v>
      </c>
      <c r="I32" s="67">
        <f t="shared" si="5"/>
        <v>0</v>
      </c>
      <c r="J32" s="72">
        <f t="shared" si="5"/>
        <v>0</v>
      </c>
      <c r="K32" s="67">
        <f t="shared" si="5"/>
        <v>2133.6</v>
      </c>
      <c r="L32" s="72">
        <f t="shared" si="5"/>
        <v>9548.5</v>
      </c>
      <c r="M32" s="67">
        <f t="shared" si="5"/>
        <v>0</v>
      </c>
      <c r="N32" s="67">
        <f t="shared" si="5"/>
        <v>1.3</v>
      </c>
      <c r="O32" s="67">
        <f t="shared" si="5"/>
        <v>292.6</v>
      </c>
      <c r="P32" s="67">
        <f t="shared" si="5"/>
        <v>401</v>
      </c>
      <c r="Q32" s="67">
        <f t="shared" si="5"/>
        <v>203.1</v>
      </c>
      <c r="R32" s="67">
        <f t="shared" si="5"/>
        <v>11.8</v>
      </c>
      <c r="S32" s="67">
        <f t="shared" si="5"/>
        <v>0</v>
      </c>
      <c r="T32" s="67">
        <f t="shared" si="5"/>
        <v>0</v>
      </c>
      <c r="U32" s="67">
        <f t="shared" si="5"/>
        <v>657.3</v>
      </c>
      <c r="V32" s="67">
        <f t="shared" si="5"/>
        <v>12998</v>
      </c>
      <c r="W32" s="67">
        <f t="shared" si="5"/>
        <v>59.8</v>
      </c>
      <c r="X32" s="67">
        <f t="shared" si="5"/>
        <v>20.7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26651.3</v>
      </c>
      <c r="AG32" s="72">
        <f>AG24</f>
        <v>12498.699999999986</v>
      </c>
    </row>
    <row r="33" spans="1:33" ht="15" customHeight="1">
      <c r="A33" s="4" t="s">
        <v>8</v>
      </c>
      <c r="B33" s="72">
        <v>2025.8</v>
      </c>
      <c r="C33" s="72">
        <v>3582.89</v>
      </c>
      <c r="D33" s="67"/>
      <c r="E33" s="67"/>
      <c r="F33" s="67"/>
      <c r="G33" s="67"/>
      <c r="H33" s="67"/>
      <c r="I33" s="67"/>
      <c r="J33" s="72"/>
      <c r="K33" s="67"/>
      <c r="L33" s="72">
        <v>42.3</v>
      </c>
      <c r="M33" s="67">
        <v>44.8</v>
      </c>
      <c r="N33" s="67">
        <v>283.5</v>
      </c>
      <c r="O33" s="71">
        <v>103.6</v>
      </c>
      <c r="P33" s="67"/>
      <c r="Q33" s="71">
        <v>69.1</v>
      </c>
      <c r="R33" s="67"/>
      <c r="S33" s="72"/>
      <c r="T33" s="72">
        <v>2.5</v>
      </c>
      <c r="U33" s="72">
        <v>643.4</v>
      </c>
      <c r="V33" s="72">
        <v>654</v>
      </c>
      <c r="W33" s="72">
        <v>1151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2994.2</v>
      </c>
      <c r="AG33" s="72">
        <f aca="true" t="shared" si="6" ref="AG33:AG38">B33+C33-AF33</f>
        <v>2614.49</v>
      </c>
    </row>
    <row r="34" spans="1:33" ht="15.75">
      <c r="A34" s="3" t="s">
        <v>5</v>
      </c>
      <c r="B34" s="72">
        <v>246.4</v>
      </c>
      <c r="C34" s="72">
        <v>87.51999999999998</v>
      </c>
      <c r="D34" s="67"/>
      <c r="E34" s="67"/>
      <c r="F34" s="67"/>
      <c r="G34" s="67"/>
      <c r="H34" s="67"/>
      <c r="I34" s="67"/>
      <c r="J34" s="72"/>
      <c r="K34" s="67"/>
      <c r="L34" s="72">
        <v>42.3</v>
      </c>
      <c r="M34" s="67">
        <v>43</v>
      </c>
      <c r="N34" s="67"/>
      <c r="O34" s="67"/>
      <c r="P34" s="67"/>
      <c r="Q34" s="71"/>
      <c r="R34" s="67"/>
      <c r="S34" s="72"/>
      <c r="T34" s="72"/>
      <c r="U34" s="72">
        <v>65</v>
      </c>
      <c r="V34" s="72">
        <v>68.5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218.8</v>
      </c>
      <c r="AG34" s="72">
        <f t="shared" si="6"/>
        <v>115.11999999999995</v>
      </c>
    </row>
    <row r="35" spans="1:33" ht="15.75">
      <c r="A35" s="3" t="s">
        <v>1</v>
      </c>
      <c r="B35" s="72">
        <v>0</v>
      </c>
      <c r="C35" s="72">
        <v>172.38599999999997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>
        <v>101.3</v>
      </c>
      <c r="P35" s="67"/>
      <c r="Q35" s="71">
        <v>69.1</v>
      </c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170.39999999999998</v>
      </c>
      <c r="AG35" s="72">
        <f t="shared" si="6"/>
        <v>1.98599999999999</v>
      </c>
    </row>
    <row r="36" spans="1:33" ht="15.75">
      <c r="A36" s="3" t="s">
        <v>2</v>
      </c>
      <c r="B36" s="111">
        <v>3</v>
      </c>
      <c r="C36" s="72">
        <v>18.4</v>
      </c>
      <c r="D36" s="67"/>
      <c r="E36" s="67"/>
      <c r="F36" s="67"/>
      <c r="G36" s="67"/>
      <c r="H36" s="67"/>
      <c r="I36" s="67"/>
      <c r="J36" s="72"/>
      <c r="K36" s="67"/>
      <c r="L36" s="72"/>
      <c r="M36" s="67">
        <v>0.1</v>
      </c>
      <c r="N36" s="72"/>
      <c r="O36" s="71">
        <v>0.1</v>
      </c>
      <c r="P36" s="67"/>
      <c r="Q36" s="71"/>
      <c r="R36" s="67"/>
      <c r="S36" s="72"/>
      <c r="T36" s="72">
        <v>2.1</v>
      </c>
      <c r="U36" s="67"/>
      <c r="V36" s="67">
        <v>1.2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3.5</v>
      </c>
      <c r="AG36" s="72">
        <f t="shared" si="6"/>
        <v>17.9</v>
      </c>
    </row>
    <row r="37" spans="1:33" ht="15.75">
      <c r="A37" s="3" t="s">
        <v>16</v>
      </c>
      <c r="B37" s="72">
        <v>1736.5</v>
      </c>
      <c r="C37" s="72">
        <v>2994.064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>
        <v>283.5</v>
      </c>
      <c r="O37" s="71"/>
      <c r="P37" s="67"/>
      <c r="Q37" s="71"/>
      <c r="R37" s="67"/>
      <c r="S37" s="72"/>
      <c r="T37" s="72"/>
      <c r="U37" s="67">
        <v>578.4</v>
      </c>
      <c r="V37" s="67">
        <v>584</v>
      </c>
      <c r="W37" s="67">
        <v>1151</v>
      </c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2596.9</v>
      </c>
      <c r="AG37" s="72">
        <f t="shared" si="6"/>
        <v>2133.664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39.899999999999864</v>
      </c>
      <c r="C39" s="72">
        <v>310.52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0</v>
      </c>
      <c r="M39" s="67">
        <f t="shared" si="7"/>
        <v>1.699999999999997</v>
      </c>
      <c r="N39" s="67">
        <f t="shared" si="7"/>
        <v>0</v>
      </c>
      <c r="O39" s="67">
        <f t="shared" si="7"/>
        <v>2.200000000000003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0.3999999999999999</v>
      </c>
      <c r="U39" s="67">
        <f t="shared" si="7"/>
        <v>0</v>
      </c>
      <c r="V39" s="67">
        <f t="shared" si="7"/>
        <v>0.2999999999999545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4.599999999999954</v>
      </c>
      <c r="AG39" s="72">
        <f>AG33-AG34-AG36-AG38-AG35-AG37</f>
        <v>345.8199999999997</v>
      </c>
    </row>
    <row r="40" spans="1:33" ht="15" customHeight="1">
      <c r="A40" s="4" t="s">
        <v>29</v>
      </c>
      <c r="B40" s="72">
        <v>1103.83</v>
      </c>
      <c r="C40" s="72">
        <v>130.0999999999999</v>
      </c>
      <c r="D40" s="67"/>
      <c r="E40" s="67"/>
      <c r="F40" s="67"/>
      <c r="G40" s="67"/>
      <c r="H40" s="67"/>
      <c r="I40" s="67"/>
      <c r="J40" s="72"/>
      <c r="K40" s="67">
        <v>379.9</v>
      </c>
      <c r="L40" s="72">
        <v>4.5</v>
      </c>
      <c r="M40" s="67"/>
      <c r="N40" s="67"/>
      <c r="O40" s="71"/>
      <c r="P40" s="67"/>
      <c r="Q40" s="71"/>
      <c r="R40" s="71"/>
      <c r="S40" s="72"/>
      <c r="T40" s="72"/>
      <c r="U40" s="72">
        <v>611.9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996.3</v>
      </c>
      <c r="AG40" s="72">
        <f aca="true" t="shared" si="8" ref="AG40:AG45">B40+C40-AF40</f>
        <v>237.62999999999988</v>
      </c>
    </row>
    <row r="41" spans="1:34" ht="15.75">
      <c r="A41" s="3" t="s">
        <v>5</v>
      </c>
      <c r="B41" s="72">
        <v>1066</v>
      </c>
      <c r="C41" s="72">
        <v>35.18599999999992</v>
      </c>
      <c r="D41" s="67"/>
      <c r="E41" s="67"/>
      <c r="F41" s="67"/>
      <c r="G41" s="67"/>
      <c r="H41" s="67"/>
      <c r="I41" s="67"/>
      <c r="J41" s="72"/>
      <c r="K41" s="67">
        <v>359.1</v>
      </c>
      <c r="L41" s="72"/>
      <c r="M41" s="67"/>
      <c r="N41" s="67"/>
      <c r="O41" s="71"/>
      <c r="P41" s="67"/>
      <c r="Q41" s="67"/>
      <c r="R41" s="67"/>
      <c r="S41" s="72"/>
      <c r="T41" s="72"/>
      <c r="U41" s="72">
        <v>599.6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958.7</v>
      </c>
      <c r="AG41" s="72">
        <f t="shared" si="8"/>
        <v>142.48599999999988</v>
      </c>
      <c r="AH41" s="6"/>
    </row>
    <row r="42" spans="1:33" ht="15.75">
      <c r="A42" s="3" t="s">
        <v>3</v>
      </c>
      <c r="B42" s="72">
        <v>0</v>
      </c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>
        <v>0.7</v>
      </c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0.7</v>
      </c>
      <c r="AG42" s="72">
        <f t="shared" si="8"/>
        <v>0.10000000000000009</v>
      </c>
    </row>
    <row r="43" spans="1:33" ht="15.75">
      <c r="A43" s="3" t="s">
        <v>1</v>
      </c>
      <c r="B43" s="72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72">
        <v>6.6</v>
      </c>
      <c r="C44" s="72">
        <v>54.83</v>
      </c>
      <c r="D44" s="67"/>
      <c r="E44" s="67"/>
      <c r="F44" s="67"/>
      <c r="G44" s="67"/>
      <c r="H44" s="67"/>
      <c r="I44" s="67"/>
      <c r="J44" s="72"/>
      <c r="K44" s="67">
        <v>0.8</v>
      </c>
      <c r="L44" s="72">
        <v>4.5</v>
      </c>
      <c r="M44" s="67"/>
      <c r="N44" s="67"/>
      <c r="O44" s="71"/>
      <c r="P44" s="67"/>
      <c r="Q44" s="67"/>
      <c r="R44" s="67"/>
      <c r="S44" s="72"/>
      <c r="T44" s="72"/>
      <c r="U44" s="72">
        <v>4.5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9.8</v>
      </c>
      <c r="AG44" s="72">
        <f t="shared" si="8"/>
        <v>51.629999999999995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31.229999999999926</v>
      </c>
      <c r="C46" s="72">
        <v>22.08399999999999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19.999999999999954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7.099999999999955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27.09999999999991</v>
      </c>
      <c r="AG46" s="72">
        <f>AG40-AG41-AG42-AG43-AG44-AG45</f>
        <v>26.31400000000002</v>
      </c>
    </row>
    <row r="47" spans="1:33" ht="17.25" customHeight="1">
      <c r="A47" s="4" t="s">
        <v>43</v>
      </c>
      <c r="B47" s="70">
        <v>753</v>
      </c>
      <c r="C47" s="72">
        <v>1332.7942299999963</v>
      </c>
      <c r="D47" s="67"/>
      <c r="E47" s="79">
        <v>220</v>
      </c>
      <c r="F47" s="79"/>
      <c r="G47" s="79">
        <v>61</v>
      </c>
      <c r="H47" s="79"/>
      <c r="I47" s="79"/>
      <c r="J47" s="80">
        <v>98.9</v>
      </c>
      <c r="K47" s="79"/>
      <c r="L47" s="80">
        <v>8.3</v>
      </c>
      <c r="M47" s="79">
        <v>19.9</v>
      </c>
      <c r="N47" s="79">
        <v>3.6</v>
      </c>
      <c r="O47" s="81">
        <v>72.3</v>
      </c>
      <c r="P47" s="79">
        <v>54.5</v>
      </c>
      <c r="Q47" s="79">
        <v>1.8</v>
      </c>
      <c r="R47" s="79"/>
      <c r="S47" s="80"/>
      <c r="T47" s="80">
        <v>96.8</v>
      </c>
      <c r="U47" s="79">
        <v>32.4</v>
      </c>
      <c r="V47" s="79"/>
      <c r="W47" s="79">
        <v>35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704.4999999999999</v>
      </c>
      <c r="AG47" s="72">
        <f>B47+C47-AF47</f>
        <v>1381.2942299999963</v>
      </c>
    </row>
    <row r="48" spans="1:33" ht="15.75">
      <c r="A48" s="3" t="s">
        <v>5</v>
      </c>
      <c r="B48" s="72">
        <v>36.4</v>
      </c>
      <c r="C48" s="72">
        <v>65.575</v>
      </c>
      <c r="D48" s="67"/>
      <c r="E48" s="79"/>
      <c r="F48" s="79"/>
      <c r="G48" s="79"/>
      <c r="H48" s="79"/>
      <c r="I48" s="79"/>
      <c r="J48" s="80"/>
      <c r="K48" s="79"/>
      <c r="L48" s="80"/>
      <c r="M48" s="79">
        <v>19.9</v>
      </c>
      <c r="N48" s="79"/>
      <c r="O48" s="81"/>
      <c r="P48" s="79"/>
      <c r="Q48" s="79"/>
      <c r="R48" s="79"/>
      <c r="S48" s="80"/>
      <c r="T48" s="80"/>
      <c r="U48" s="79"/>
      <c r="V48" s="79"/>
      <c r="W48" s="79">
        <v>19.5</v>
      </c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39.4</v>
      </c>
      <c r="AG48" s="72">
        <f>B48+C48-AF48</f>
        <v>62.574999999999996</v>
      </c>
    </row>
    <row r="49" spans="1:33" ht="15.75">
      <c r="A49" s="3" t="s">
        <v>16</v>
      </c>
      <c r="B49" s="72">
        <v>522.2</v>
      </c>
      <c r="C49" s="72">
        <v>796.8720000000001</v>
      </c>
      <c r="D49" s="67"/>
      <c r="E49" s="67">
        <v>182.1</v>
      </c>
      <c r="F49" s="67"/>
      <c r="G49" s="67">
        <v>50.9</v>
      </c>
      <c r="H49" s="67"/>
      <c r="I49" s="67"/>
      <c r="J49" s="72">
        <f>40.8+33.7</f>
        <v>74.5</v>
      </c>
      <c r="K49" s="67"/>
      <c r="L49" s="72"/>
      <c r="M49" s="67"/>
      <c r="N49" s="67">
        <v>3.6</v>
      </c>
      <c r="O49" s="71">
        <v>68.2</v>
      </c>
      <c r="P49" s="67">
        <v>54.5</v>
      </c>
      <c r="Q49" s="67">
        <v>1.8</v>
      </c>
      <c r="R49" s="67"/>
      <c r="S49" s="72"/>
      <c r="T49" s="72">
        <v>34</v>
      </c>
      <c r="U49" s="67">
        <v>29.9</v>
      </c>
      <c r="V49" s="67"/>
      <c r="W49" s="67">
        <v>10.9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510.4</v>
      </c>
      <c r="AG49" s="72">
        <f>B49+C49-AF49</f>
        <v>808.6720000000001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194.39999999999998</v>
      </c>
      <c r="C51" s="72">
        <v>470.1472299999962</v>
      </c>
      <c r="D51" s="67">
        <f aca="true" t="shared" si="10" ref="D51:AD51">D47-D48-D49</f>
        <v>0</v>
      </c>
      <c r="E51" s="67">
        <f t="shared" si="10"/>
        <v>37.900000000000006</v>
      </c>
      <c r="F51" s="67">
        <f t="shared" si="10"/>
        <v>0</v>
      </c>
      <c r="G51" s="67">
        <f t="shared" si="10"/>
        <v>10.100000000000001</v>
      </c>
      <c r="H51" s="67">
        <f t="shared" si="10"/>
        <v>0</v>
      </c>
      <c r="I51" s="67">
        <f t="shared" si="10"/>
        <v>0</v>
      </c>
      <c r="J51" s="72">
        <f t="shared" si="10"/>
        <v>24.400000000000006</v>
      </c>
      <c r="K51" s="67">
        <f t="shared" si="10"/>
        <v>0</v>
      </c>
      <c r="L51" s="72">
        <f t="shared" si="10"/>
        <v>8.3</v>
      </c>
      <c r="M51" s="67">
        <f t="shared" si="10"/>
        <v>0</v>
      </c>
      <c r="N51" s="67">
        <f t="shared" si="10"/>
        <v>0</v>
      </c>
      <c r="O51" s="67">
        <f t="shared" si="10"/>
        <v>4.099999999999994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62.8</v>
      </c>
      <c r="U51" s="67">
        <f t="shared" si="10"/>
        <v>2.5</v>
      </c>
      <c r="V51" s="67">
        <f t="shared" si="10"/>
        <v>0</v>
      </c>
      <c r="W51" s="67">
        <f t="shared" si="10"/>
        <v>4.6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154.7</v>
      </c>
      <c r="AG51" s="72">
        <f>AG47-AG49-AG48</f>
        <v>510.0472299999962</v>
      </c>
    </row>
    <row r="52" spans="1:33" ht="15" customHeight="1">
      <c r="A52" s="4" t="s">
        <v>0</v>
      </c>
      <c r="B52" s="72">
        <v>5387.3</v>
      </c>
      <c r="C52" s="72">
        <v>3671.61226</v>
      </c>
      <c r="D52" s="67"/>
      <c r="E52" s="67">
        <v>371.8</v>
      </c>
      <c r="F52" s="67">
        <v>167.1</v>
      </c>
      <c r="G52" s="67">
        <v>3.3</v>
      </c>
      <c r="H52" s="67"/>
      <c r="I52" s="67"/>
      <c r="J52" s="72"/>
      <c r="K52" s="67">
        <v>427.3</v>
      </c>
      <c r="L52" s="72"/>
      <c r="M52" s="67">
        <v>895.7</v>
      </c>
      <c r="N52" s="67">
        <v>126.1</v>
      </c>
      <c r="O52" s="71"/>
      <c r="P52" s="67"/>
      <c r="Q52" s="67"/>
      <c r="R52" s="67">
        <v>48.3</v>
      </c>
      <c r="S52" s="72"/>
      <c r="T52" s="72"/>
      <c r="U52" s="72"/>
      <c r="V52" s="72">
        <v>729.5</v>
      </c>
      <c r="W52" s="72">
        <v>1007.4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3776.5</v>
      </c>
      <c r="AG52" s="72">
        <f aca="true" t="shared" si="11" ref="AG52:AG59">B52+C52-AF52</f>
        <v>5282.412260000001</v>
      </c>
    </row>
    <row r="53" spans="1:33" ht="15" customHeight="1">
      <c r="A53" s="3" t="s">
        <v>2</v>
      </c>
      <c r="B53" s="72">
        <v>910.9</v>
      </c>
      <c r="C53" s="72">
        <v>276.201</v>
      </c>
      <c r="D53" s="67"/>
      <c r="E53" s="67"/>
      <c r="F53" s="67">
        <v>5.4</v>
      </c>
      <c r="G53" s="67"/>
      <c r="H53" s="67"/>
      <c r="I53" s="67"/>
      <c r="J53" s="72"/>
      <c r="K53" s="67"/>
      <c r="L53" s="72"/>
      <c r="M53" s="67">
        <v>212.8</v>
      </c>
      <c r="N53" s="67"/>
      <c r="O53" s="71"/>
      <c r="P53" s="67"/>
      <c r="Q53" s="67"/>
      <c r="R53" s="67"/>
      <c r="S53" s="72"/>
      <c r="T53" s="72"/>
      <c r="U53" s="72"/>
      <c r="V53" s="72"/>
      <c r="W53" s="72">
        <v>729.6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947.8000000000001</v>
      </c>
      <c r="AG53" s="72">
        <f t="shared" si="11"/>
        <v>239.30100000000004</v>
      </c>
    </row>
    <row r="54" spans="1:34" ht="15" customHeight="1">
      <c r="A54" s="4" t="s">
        <v>9</v>
      </c>
      <c r="B54" s="111">
        <v>2043.84</v>
      </c>
      <c r="C54" s="72">
        <v>1104.5000000000005</v>
      </c>
      <c r="D54" s="67"/>
      <c r="E54" s="67">
        <v>95.1</v>
      </c>
      <c r="F54" s="67">
        <v>221.7</v>
      </c>
      <c r="G54" s="67">
        <v>9.9</v>
      </c>
      <c r="H54" s="67">
        <v>0.4</v>
      </c>
      <c r="I54" s="67">
        <v>9</v>
      </c>
      <c r="J54" s="72">
        <v>13</v>
      </c>
      <c r="K54" s="67">
        <v>10.6</v>
      </c>
      <c r="L54" s="72">
        <v>419.4</v>
      </c>
      <c r="M54" s="67"/>
      <c r="N54" s="67">
        <v>2.8</v>
      </c>
      <c r="O54" s="71"/>
      <c r="P54" s="67">
        <v>161.5</v>
      </c>
      <c r="Q54" s="71">
        <v>36.6</v>
      </c>
      <c r="R54" s="67"/>
      <c r="S54" s="72">
        <v>25.1</v>
      </c>
      <c r="T54" s="72">
        <v>17.6</v>
      </c>
      <c r="U54" s="72">
        <v>9.1</v>
      </c>
      <c r="V54" s="72">
        <v>600.6</v>
      </c>
      <c r="W54" s="72">
        <v>13.5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1645.9</v>
      </c>
      <c r="AG54" s="72">
        <f t="shared" si="11"/>
        <v>1502.44</v>
      </c>
      <c r="AH54" s="6"/>
    </row>
    <row r="55" spans="1:34" ht="15.75">
      <c r="A55" s="3" t="s">
        <v>5</v>
      </c>
      <c r="B55" s="72">
        <v>1134.3</v>
      </c>
      <c r="C55" s="72">
        <v>228.80700000000002</v>
      </c>
      <c r="D55" s="67"/>
      <c r="E55" s="67">
        <v>89.8</v>
      </c>
      <c r="F55" s="67"/>
      <c r="G55" s="67">
        <v>9.9</v>
      </c>
      <c r="H55" s="67"/>
      <c r="I55" s="67"/>
      <c r="J55" s="72"/>
      <c r="K55" s="67"/>
      <c r="L55" s="72">
        <v>419.4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475.8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994.9000000000001</v>
      </c>
      <c r="AG55" s="72">
        <f t="shared" si="11"/>
        <v>368.2069999999999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20.2</v>
      </c>
      <c r="C57" s="72">
        <v>44.63600000000012</v>
      </c>
      <c r="D57" s="72"/>
      <c r="E57" s="72"/>
      <c r="F57" s="72"/>
      <c r="G57" s="72"/>
      <c r="H57" s="72"/>
      <c r="I57" s="72"/>
      <c r="J57" s="72"/>
      <c r="K57" s="72">
        <v>7.8</v>
      </c>
      <c r="L57" s="72"/>
      <c r="M57" s="72"/>
      <c r="N57" s="72"/>
      <c r="O57" s="72"/>
      <c r="P57" s="72">
        <v>4.8</v>
      </c>
      <c r="Q57" s="72">
        <v>0.2</v>
      </c>
      <c r="R57" s="72"/>
      <c r="S57" s="72"/>
      <c r="T57" s="72"/>
      <c r="U57" s="72">
        <v>5.5</v>
      </c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18.299999999999997</v>
      </c>
      <c r="AG57" s="72">
        <f t="shared" si="11"/>
        <v>46.536000000000115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889.3399999999999</v>
      </c>
      <c r="C60" s="72">
        <v>831.0570000000004</v>
      </c>
      <c r="D60" s="67">
        <f t="shared" si="12"/>
        <v>0</v>
      </c>
      <c r="E60" s="67">
        <f>E54-E55-E57-E59-E56-E58</f>
        <v>5.299999999999997</v>
      </c>
      <c r="F60" s="67">
        <f t="shared" si="12"/>
        <v>221.7</v>
      </c>
      <c r="G60" s="67">
        <f t="shared" si="12"/>
        <v>0</v>
      </c>
      <c r="H60" s="67">
        <f t="shared" si="12"/>
        <v>0.4</v>
      </c>
      <c r="I60" s="67">
        <f t="shared" si="12"/>
        <v>9</v>
      </c>
      <c r="J60" s="72">
        <f t="shared" si="12"/>
        <v>13</v>
      </c>
      <c r="K60" s="67">
        <f t="shared" si="12"/>
        <v>2.8</v>
      </c>
      <c r="L60" s="72">
        <f t="shared" si="12"/>
        <v>0</v>
      </c>
      <c r="M60" s="67">
        <f t="shared" si="12"/>
        <v>0</v>
      </c>
      <c r="N60" s="67">
        <f t="shared" si="12"/>
        <v>2.8</v>
      </c>
      <c r="O60" s="67">
        <f t="shared" si="12"/>
        <v>0</v>
      </c>
      <c r="P60" s="67">
        <f t="shared" si="12"/>
        <v>156.7</v>
      </c>
      <c r="Q60" s="67">
        <f t="shared" si="12"/>
        <v>36.4</v>
      </c>
      <c r="R60" s="67">
        <f t="shared" si="12"/>
        <v>0</v>
      </c>
      <c r="S60" s="67">
        <f t="shared" si="12"/>
        <v>25.1</v>
      </c>
      <c r="T60" s="67">
        <f t="shared" si="12"/>
        <v>17.6</v>
      </c>
      <c r="U60" s="67">
        <f t="shared" si="12"/>
        <v>3.5999999999999996</v>
      </c>
      <c r="V60" s="67">
        <f t="shared" si="12"/>
        <v>124.80000000000001</v>
      </c>
      <c r="W60" s="67">
        <f t="shared" si="12"/>
        <v>13.5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632.7</v>
      </c>
      <c r="AG60" s="72">
        <f>AG54-AG55-AG57-AG59-AG56-AG58</f>
        <v>1087.6970000000001</v>
      </c>
    </row>
    <row r="61" spans="1:33" ht="15" customHeight="1">
      <c r="A61" s="4" t="s">
        <v>10</v>
      </c>
      <c r="B61" s="72">
        <v>106.3</v>
      </c>
      <c r="C61" s="72">
        <v>731.7</v>
      </c>
      <c r="D61" s="67"/>
      <c r="E61" s="67"/>
      <c r="F61" s="67"/>
      <c r="G61" s="67"/>
      <c r="H61" s="67"/>
      <c r="I61" s="67"/>
      <c r="J61" s="72">
        <v>3.3</v>
      </c>
      <c r="K61" s="67">
        <v>24.2</v>
      </c>
      <c r="L61" s="72"/>
      <c r="M61" s="67">
        <v>12.6</v>
      </c>
      <c r="N61" s="67"/>
      <c r="O61" s="71"/>
      <c r="P61" s="67"/>
      <c r="Q61" s="71"/>
      <c r="R61" s="67"/>
      <c r="S61" s="72"/>
      <c r="T61" s="72"/>
      <c r="U61" s="72"/>
      <c r="V61" s="72"/>
      <c r="W61" s="72">
        <v>1.5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41.6</v>
      </c>
      <c r="AG61" s="72">
        <f aca="true" t="shared" si="14" ref="AG61:AG67">B61+C61-AF61</f>
        <v>796.4</v>
      </c>
    </row>
    <row r="62" spans="1:33" s="18" customFormat="1" ht="15" customHeight="1">
      <c r="A62" s="108" t="s">
        <v>11</v>
      </c>
      <c r="B62" s="72">
        <f>3245.1+0.6</f>
        <v>3245.7</v>
      </c>
      <c r="C62" s="72">
        <v>3252.4</v>
      </c>
      <c r="D62" s="72"/>
      <c r="E62" s="72">
        <v>22</v>
      </c>
      <c r="F62" s="72">
        <v>30.7</v>
      </c>
      <c r="G62" s="72">
        <v>429.7</v>
      </c>
      <c r="H62" s="72"/>
      <c r="I62" s="72">
        <v>7.5</v>
      </c>
      <c r="J62" s="72"/>
      <c r="K62" s="72">
        <v>8.6</v>
      </c>
      <c r="L62" s="72">
        <v>482.9</v>
      </c>
      <c r="M62" s="72"/>
      <c r="N62" s="72"/>
      <c r="O62" s="72">
        <v>117.6</v>
      </c>
      <c r="P62" s="72"/>
      <c r="Q62" s="72">
        <v>13.7</v>
      </c>
      <c r="R62" s="72">
        <v>58</v>
      </c>
      <c r="S62" s="72">
        <v>9.7</v>
      </c>
      <c r="T62" s="72">
        <v>59.5</v>
      </c>
      <c r="U62" s="72">
        <v>163.3</v>
      </c>
      <c r="V62" s="72">
        <v>551.9</v>
      </c>
      <c r="W62" s="72"/>
      <c r="X62" s="72">
        <v>1</v>
      </c>
      <c r="Y62" s="72"/>
      <c r="Z62" s="72"/>
      <c r="AA62" s="72"/>
      <c r="AB62" s="72"/>
      <c r="AC62" s="72"/>
      <c r="AD62" s="72"/>
      <c r="AE62" s="72"/>
      <c r="AF62" s="72">
        <f t="shared" si="13"/>
        <v>1956.1</v>
      </c>
      <c r="AG62" s="72">
        <f t="shared" si="14"/>
        <v>4542</v>
      </c>
    </row>
    <row r="63" spans="1:34" ht="15.75">
      <c r="A63" s="3" t="s">
        <v>5</v>
      </c>
      <c r="B63" s="72">
        <v>1070.2</v>
      </c>
      <c r="C63" s="72">
        <v>1180.5040000000004</v>
      </c>
      <c r="D63" s="67"/>
      <c r="E63" s="67"/>
      <c r="F63" s="67"/>
      <c r="G63" s="67"/>
      <c r="H63" s="67"/>
      <c r="I63" s="67"/>
      <c r="J63" s="72"/>
      <c r="K63" s="67"/>
      <c r="L63" s="72">
        <v>358.8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550.5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909.3</v>
      </c>
      <c r="AG63" s="72">
        <f t="shared" si="14"/>
        <v>1341.4040000000007</v>
      </c>
      <c r="AH63" s="121"/>
    </row>
    <row r="64" spans="1:34" ht="15.75">
      <c r="A64" s="3" t="s">
        <v>3</v>
      </c>
      <c r="B64" s="72">
        <v>1.4</v>
      </c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1.4</v>
      </c>
      <c r="AH64" s="6"/>
    </row>
    <row r="65" spans="1:34" ht="15.75">
      <c r="A65" s="3" t="s">
        <v>1</v>
      </c>
      <c r="B65" s="72">
        <v>78</v>
      </c>
      <c r="C65" s="72">
        <v>43.40000000000001</v>
      </c>
      <c r="D65" s="67"/>
      <c r="E65" s="67">
        <v>1.8</v>
      </c>
      <c r="F65" s="67"/>
      <c r="G65" s="67"/>
      <c r="H65" s="67"/>
      <c r="I65" s="67"/>
      <c r="J65" s="72"/>
      <c r="K65" s="67">
        <v>2.2</v>
      </c>
      <c r="L65" s="72"/>
      <c r="M65" s="67"/>
      <c r="N65" s="67"/>
      <c r="O65" s="71">
        <v>4.1</v>
      </c>
      <c r="P65" s="67"/>
      <c r="Q65" s="71">
        <v>5.9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14</v>
      </c>
      <c r="AG65" s="72">
        <f t="shared" si="14"/>
        <v>107.4</v>
      </c>
      <c r="AH65" s="6"/>
    </row>
    <row r="66" spans="1:33" ht="15.75">
      <c r="A66" s="3" t="s">
        <v>2</v>
      </c>
      <c r="B66" s="72">
        <v>32.2</v>
      </c>
      <c r="C66" s="72">
        <v>125.54500000000002</v>
      </c>
      <c r="D66" s="67"/>
      <c r="E66" s="67">
        <v>1.1</v>
      </c>
      <c r="F66" s="67"/>
      <c r="G66" s="67"/>
      <c r="H66" s="67"/>
      <c r="I66" s="67">
        <v>0.5</v>
      </c>
      <c r="J66" s="72"/>
      <c r="K66" s="67">
        <v>0.1</v>
      </c>
      <c r="L66" s="72"/>
      <c r="M66" s="67"/>
      <c r="N66" s="67"/>
      <c r="O66" s="71"/>
      <c r="P66" s="67"/>
      <c r="Q66" s="67">
        <v>1</v>
      </c>
      <c r="R66" s="67"/>
      <c r="S66" s="72">
        <v>9.6</v>
      </c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12.3</v>
      </c>
      <c r="AG66" s="72">
        <f t="shared" si="14"/>
        <v>145.445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>
        <v>110</v>
      </c>
      <c r="P67" s="67"/>
      <c r="Q67" s="67"/>
      <c r="R67" s="67"/>
      <c r="S67" s="72"/>
      <c r="T67" s="72"/>
      <c r="U67" s="67">
        <v>0</v>
      </c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>B62-B63-B66-B67-B65-B64</f>
        <v>1953.9</v>
      </c>
      <c r="C68" s="72">
        <v>1902.9509999999996</v>
      </c>
      <c r="D68" s="67">
        <f aca="true" t="shared" si="15" ref="D68:AD68">D62-D63-D66-D67-D65-D64</f>
        <v>0</v>
      </c>
      <c r="E68" s="67">
        <f t="shared" si="15"/>
        <v>19.099999999999998</v>
      </c>
      <c r="F68" s="67">
        <f t="shared" si="15"/>
        <v>30.7</v>
      </c>
      <c r="G68" s="67">
        <f t="shared" si="15"/>
        <v>429.7</v>
      </c>
      <c r="H68" s="67">
        <f t="shared" si="15"/>
        <v>0</v>
      </c>
      <c r="I68" s="67">
        <f t="shared" si="15"/>
        <v>7</v>
      </c>
      <c r="J68" s="72">
        <f t="shared" si="15"/>
        <v>0</v>
      </c>
      <c r="K68" s="67">
        <f t="shared" si="15"/>
        <v>6.3</v>
      </c>
      <c r="L68" s="72">
        <f t="shared" si="15"/>
        <v>124.09999999999997</v>
      </c>
      <c r="M68" s="67">
        <f t="shared" si="15"/>
        <v>0</v>
      </c>
      <c r="N68" s="67">
        <f t="shared" si="15"/>
        <v>0</v>
      </c>
      <c r="O68" s="67">
        <f t="shared" si="15"/>
        <v>3.4999999999999947</v>
      </c>
      <c r="P68" s="67">
        <f t="shared" si="15"/>
        <v>0</v>
      </c>
      <c r="Q68" s="67">
        <f t="shared" si="15"/>
        <v>6.799999999999999</v>
      </c>
      <c r="R68" s="67">
        <f t="shared" si="15"/>
        <v>58</v>
      </c>
      <c r="S68" s="67">
        <f t="shared" si="15"/>
        <v>0.09999999999999964</v>
      </c>
      <c r="T68" s="67">
        <f t="shared" si="15"/>
        <v>59.5</v>
      </c>
      <c r="U68" s="67">
        <f t="shared" si="15"/>
        <v>163.3</v>
      </c>
      <c r="V68" s="67">
        <f t="shared" si="15"/>
        <v>1.3999999999999773</v>
      </c>
      <c r="W68" s="67">
        <f t="shared" si="15"/>
        <v>0</v>
      </c>
      <c r="X68" s="67">
        <f t="shared" si="15"/>
        <v>1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910.4999999999999</v>
      </c>
      <c r="AG68" s="72">
        <f>AG62-AG63-AG66-AG67-AG65-AG64</f>
        <v>2946.350999999999</v>
      </c>
    </row>
    <row r="69" spans="1:33" ht="31.5">
      <c r="A69" s="4" t="s">
        <v>45</v>
      </c>
      <c r="B69" s="72">
        <f>4363.7+800</f>
        <v>5163.7</v>
      </c>
      <c r="C69" s="72">
        <v>533.1390000000001</v>
      </c>
      <c r="D69" s="67"/>
      <c r="E69" s="67"/>
      <c r="F69" s="67">
        <v>1337.2</v>
      </c>
      <c r="G69" s="67"/>
      <c r="H69" s="67"/>
      <c r="I69" s="67"/>
      <c r="J69" s="72"/>
      <c r="K69" s="67"/>
      <c r="L69" s="72"/>
      <c r="M69" s="67">
        <v>1221</v>
      </c>
      <c r="N69" s="67"/>
      <c r="O69" s="67"/>
      <c r="P69" s="67"/>
      <c r="Q69" s="67"/>
      <c r="R69" s="67">
        <v>3120.4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5678.6</v>
      </c>
      <c r="AG69" s="130">
        <f aca="true" t="shared" si="16" ref="AG69:AG92">B69+C69-AF69</f>
        <v>18.238999999999578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1102.5</v>
      </c>
      <c r="C71" s="80">
        <v>487.89999999999986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1590.3999999999999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1092.2-90</f>
        <v>1002.2</v>
      </c>
      <c r="C72" s="72">
        <v>3266.4</v>
      </c>
      <c r="D72" s="67"/>
      <c r="E72" s="67">
        <v>162.5</v>
      </c>
      <c r="F72" s="67">
        <f>13+3.6+0.5</f>
        <v>17.1</v>
      </c>
      <c r="G72" s="67"/>
      <c r="H72" s="67"/>
      <c r="I72" s="67"/>
      <c r="J72" s="72">
        <v>80.5</v>
      </c>
      <c r="K72" s="67"/>
      <c r="L72" s="72">
        <v>0.4</v>
      </c>
      <c r="M72" s="67">
        <v>0.4</v>
      </c>
      <c r="N72" s="67"/>
      <c r="O72" s="67"/>
      <c r="P72" s="67">
        <v>5</v>
      </c>
      <c r="Q72" s="71"/>
      <c r="R72" s="67">
        <v>1.1</v>
      </c>
      <c r="S72" s="72">
        <v>0.3</v>
      </c>
      <c r="T72" s="72">
        <v>26.3</v>
      </c>
      <c r="U72" s="72">
        <v>214.8</v>
      </c>
      <c r="V72" s="72">
        <f>7.4+4.3+15.7</f>
        <v>27.4</v>
      </c>
      <c r="W72" s="72">
        <v>18.7</v>
      </c>
      <c r="X72" s="67">
        <v>12</v>
      </c>
      <c r="Y72" s="72"/>
      <c r="Z72" s="72"/>
      <c r="AA72" s="72"/>
      <c r="AB72" s="67"/>
      <c r="AC72" s="67"/>
      <c r="AD72" s="67"/>
      <c r="AE72" s="67"/>
      <c r="AF72" s="71">
        <f t="shared" si="13"/>
        <v>566.5000000000001</v>
      </c>
      <c r="AG72" s="130">
        <f t="shared" si="16"/>
        <v>3702.1000000000004</v>
      </c>
      <c r="AH72" s="86">
        <f>AG72+AG69+AG76</f>
        <v>3839.899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27.8+77.3-21.6+43.2</f>
        <v>126.7</v>
      </c>
      <c r="C74" s="72">
        <v>436.3</v>
      </c>
      <c r="D74" s="67"/>
      <c r="E74" s="67">
        <v>36.5</v>
      </c>
      <c r="F74" s="67">
        <v>0.5</v>
      </c>
      <c r="G74" s="67"/>
      <c r="H74" s="67"/>
      <c r="I74" s="67"/>
      <c r="J74" s="72">
        <v>26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63</v>
      </c>
      <c r="AG74" s="130">
        <f t="shared" si="16"/>
        <v>500</v>
      </c>
    </row>
    <row r="75" spans="1:33" ht="15" customHeight="1">
      <c r="A75" s="3" t="s">
        <v>16</v>
      </c>
      <c r="B75" s="72">
        <f>194+12</f>
        <v>206</v>
      </c>
      <c r="C75" s="72">
        <v>83.30000000000001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/>
      <c r="P75" s="67"/>
      <c r="Q75" s="71"/>
      <c r="R75" s="67"/>
      <c r="S75" s="72"/>
      <c r="T75" s="72"/>
      <c r="U75" s="72"/>
      <c r="V75" s="72">
        <v>7.4</v>
      </c>
      <c r="W75" s="72"/>
      <c r="X75" s="67">
        <v>11.2</v>
      </c>
      <c r="Y75" s="72"/>
      <c r="Z75" s="72"/>
      <c r="AA75" s="72"/>
      <c r="AB75" s="67"/>
      <c r="AC75" s="67"/>
      <c r="AD75" s="67"/>
      <c r="AE75" s="67"/>
      <c r="AF75" s="71">
        <f t="shared" si="13"/>
        <v>18.6</v>
      </c>
      <c r="AG75" s="130">
        <f t="shared" si="16"/>
        <v>270.7</v>
      </c>
    </row>
    <row r="76" spans="1:35" s="11" customFormat="1" ht="15.75">
      <c r="A76" s="12" t="s">
        <v>48</v>
      </c>
      <c r="B76" s="72">
        <f>107+172</f>
        <v>279</v>
      </c>
      <c r="C76" s="72">
        <v>22.8599999999999</v>
      </c>
      <c r="D76" s="67"/>
      <c r="E76" s="79"/>
      <c r="F76" s="79"/>
      <c r="G76" s="79">
        <v>1.3</v>
      </c>
      <c r="H76" s="79"/>
      <c r="I76" s="79"/>
      <c r="J76" s="80"/>
      <c r="K76" s="79"/>
      <c r="L76" s="80"/>
      <c r="M76" s="79">
        <v>74.9</v>
      </c>
      <c r="N76" s="79"/>
      <c r="O76" s="79"/>
      <c r="P76" s="79"/>
      <c r="Q76" s="81"/>
      <c r="R76" s="79"/>
      <c r="S76" s="80"/>
      <c r="T76" s="80"/>
      <c r="U76" s="79">
        <v>19.8</v>
      </c>
      <c r="V76" s="79">
        <v>86.3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182.3</v>
      </c>
      <c r="AG76" s="130">
        <f t="shared" si="16"/>
        <v>119.55999999999989</v>
      </c>
      <c r="AI76" s="128"/>
    </row>
    <row r="77" spans="1:33" s="11" customFormat="1" ht="15.75">
      <c r="A77" s="3" t="s">
        <v>5</v>
      </c>
      <c r="B77" s="72">
        <v>144.1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52.9</v>
      </c>
      <c r="N77" s="79"/>
      <c r="O77" s="79"/>
      <c r="P77" s="79"/>
      <c r="Q77" s="81"/>
      <c r="R77" s="79"/>
      <c r="S77" s="80"/>
      <c r="T77" s="80"/>
      <c r="U77" s="79"/>
      <c r="V77" s="79">
        <v>85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137.9</v>
      </c>
      <c r="AG77" s="130">
        <f t="shared" si="16"/>
        <v>11.299999999999983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12.3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2700.8+5671.6</f>
        <v>8372.400000000001</v>
      </c>
      <c r="C89" s="72">
        <v>1787.9999999999973</v>
      </c>
      <c r="D89" s="67"/>
      <c r="E89" s="67"/>
      <c r="F89" s="67">
        <v>997.7</v>
      </c>
      <c r="G89" s="67"/>
      <c r="H89" s="67"/>
      <c r="I89" s="67"/>
      <c r="J89" s="72">
        <v>999.6</v>
      </c>
      <c r="K89" s="67"/>
      <c r="L89" s="72"/>
      <c r="M89" s="67">
        <v>774.8</v>
      </c>
      <c r="N89" s="67"/>
      <c r="O89" s="67"/>
      <c r="P89" s="67"/>
      <c r="Q89" s="67"/>
      <c r="R89" s="67">
        <v>1559.9</v>
      </c>
      <c r="S89" s="72"/>
      <c r="T89" s="72"/>
      <c r="U89" s="67"/>
      <c r="V89" s="67">
        <v>3388.1</v>
      </c>
      <c r="W89" s="67">
        <v>562.4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8282.5</v>
      </c>
      <c r="AG89" s="72">
        <f t="shared" si="16"/>
        <v>1877.8999999999978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58304.2-6471.6-100+1641.8</f>
        <v>53374.4</v>
      </c>
      <c r="C92" s="72">
        <v>64459</v>
      </c>
      <c r="D92" s="67">
        <v>566.5</v>
      </c>
      <c r="E92" s="67">
        <v>1528.5</v>
      </c>
      <c r="F92" s="67">
        <v>1339.1</v>
      </c>
      <c r="G92" s="67"/>
      <c r="H92" s="67">
        <v>3285.1</v>
      </c>
      <c r="I92" s="67">
        <v>971.6</v>
      </c>
      <c r="J92" s="72">
        <v>216.8</v>
      </c>
      <c r="K92" s="67">
        <v>1076.6</v>
      </c>
      <c r="L92" s="72">
        <v>1992.4</v>
      </c>
      <c r="M92" s="67">
        <v>70</v>
      </c>
      <c r="N92" s="67">
        <v>79.1</v>
      </c>
      <c r="O92" s="67">
        <v>1650.5</v>
      </c>
      <c r="P92" s="67">
        <v>948.5</v>
      </c>
      <c r="Q92" s="67">
        <v>696.9</v>
      </c>
      <c r="R92" s="67">
        <v>2465.9</v>
      </c>
      <c r="S92" s="72">
        <v>1374.9</v>
      </c>
      <c r="T92" s="72">
        <v>1596.8</v>
      </c>
      <c r="U92" s="67"/>
      <c r="V92" s="67">
        <v>131.6</v>
      </c>
      <c r="W92" s="67"/>
      <c r="X92" s="72"/>
      <c r="Y92" s="72">
        <v>737.5</v>
      </c>
      <c r="Z92" s="72"/>
      <c r="AA92" s="72"/>
      <c r="AB92" s="67"/>
      <c r="AC92" s="67"/>
      <c r="AD92" s="67"/>
      <c r="AE92" s="67"/>
      <c r="AF92" s="71">
        <f t="shared" si="13"/>
        <v>20728.3</v>
      </c>
      <c r="AG92" s="72">
        <f t="shared" si="16"/>
        <v>97105.09999999999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160438.53</v>
      </c>
      <c r="C94" s="132">
        <f t="shared" si="17"/>
        <v>143867.49548999997</v>
      </c>
      <c r="D94" s="83">
        <f t="shared" si="17"/>
        <v>1052.9</v>
      </c>
      <c r="E94" s="83">
        <f t="shared" si="17"/>
        <v>2559.4</v>
      </c>
      <c r="F94" s="83">
        <f t="shared" si="17"/>
        <v>4458.700000000001</v>
      </c>
      <c r="G94" s="83">
        <f t="shared" si="17"/>
        <v>1105.1</v>
      </c>
      <c r="H94" s="83">
        <f t="shared" si="17"/>
        <v>3533.4</v>
      </c>
      <c r="I94" s="83">
        <f t="shared" si="17"/>
        <v>1003.1</v>
      </c>
      <c r="J94" s="132">
        <f t="shared" si="17"/>
        <v>2627.6000000000004</v>
      </c>
      <c r="K94" s="83">
        <f t="shared" si="17"/>
        <v>5664.0999999999985</v>
      </c>
      <c r="L94" s="132">
        <f t="shared" si="17"/>
        <v>26307.600000000006</v>
      </c>
      <c r="M94" s="83">
        <f t="shared" si="17"/>
        <v>4350.1</v>
      </c>
      <c r="N94" s="83">
        <f t="shared" si="17"/>
        <v>843.6</v>
      </c>
      <c r="O94" s="83">
        <f t="shared" si="17"/>
        <v>2425.2</v>
      </c>
      <c r="P94" s="83">
        <f t="shared" si="17"/>
        <v>3506.6</v>
      </c>
      <c r="Q94" s="83">
        <f t="shared" si="17"/>
        <v>2665.4</v>
      </c>
      <c r="R94" s="83">
        <f t="shared" si="17"/>
        <v>7658.799999999999</v>
      </c>
      <c r="S94" s="83">
        <f t="shared" si="17"/>
        <v>1543.5</v>
      </c>
      <c r="T94" s="83">
        <f t="shared" si="17"/>
        <v>2242.3</v>
      </c>
      <c r="U94" s="83">
        <f t="shared" si="17"/>
        <v>3056.4000000000005</v>
      </c>
      <c r="V94" s="83">
        <f t="shared" si="17"/>
        <v>44473.00000000001</v>
      </c>
      <c r="W94" s="83">
        <f t="shared" si="17"/>
        <v>10102.900000000001</v>
      </c>
      <c r="X94" s="83">
        <f t="shared" si="17"/>
        <v>564.5</v>
      </c>
      <c r="Y94" s="83">
        <f t="shared" si="17"/>
        <v>1912.1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133656.30000000002</v>
      </c>
      <c r="AG94" s="84">
        <f>AG10+AG15+AG24+AG33+AG47+AG52+AG54+AG61+AG62+AG69+AG71+AG72+AG76+AG81+AG82+AG83+AG88+AG89+AG90+AG91+AG70+AG40+AG92</f>
        <v>170649.72548999998</v>
      </c>
    </row>
    <row r="95" spans="1:33" ht="15.75">
      <c r="A95" s="3" t="s">
        <v>5</v>
      </c>
      <c r="B95" s="22">
        <f>B11+B17+B26+B34+B55+B63+B73+B41+B77+B48</f>
        <v>45081.3</v>
      </c>
      <c r="C95" s="109">
        <f aca="true" t="shared" si="18" ref="C95:AD95">C11+C17+C26+C34+C55+C63+C73+C41+C77+C48</f>
        <v>28538.431999999997</v>
      </c>
      <c r="D95" s="67">
        <f t="shared" si="18"/>
        <v>482.4</v>
      </c>
      <c r="E95" s="67">
        <f t="shared" si="18"/>
        <v>245.60000000000002</v>
      </c>
      <c r="F95" s="67">
        <f t="shared" si="18"/>
        <v>34</v>
      </c>
      <c r="G95" s="67">
        <f t="shared" si="18"/>
        <v>272</v>
      </c>
      <c r="H95" s="67">
        <f t="shared" si="18"/>
        <v>0</v>
      </c>
      <c r="I95" s="67">
        <f t="shared" si="18"/>
        <v>0</v>
      </c>
      <c r="J95" s="72">
        <f t="shared" si="18"/>
        <v>565.9</v>
      </c>
      <c r="K95" s="67">
        <f t="shared" si="18"/>
        <v>359.1</v>
      </c>
      <c r="L95" s="72">
        <f t="shared" si="18"/>
        <v>14610.099999999997</v>
      </c>
      <c r="M95" s="67">
        <f t="shared" si="18"/>
        <v>1262.1000000000001</v>
      </c>
      <c r="N95" s="67">
        <f t="shared" si="18"/>
        <v>0</v>
      </c>
      <c r="O95" s="67">
        <f t="shared" si="18"/>
        <v>19.7</v>
      </c>
      <c r="P95" s="67">
        <f t="shared" si="18"/>
        <v>0</v>
      </c>
      <c r="Q95" s="67">
        <f t="shared" si="18"/>
        <v>57.6</v>
      </c>
      <c r="R95" s="67">
        <f t="shared" si="18"/>
        <v>141</v>
      </c>
      <c r="S95" s="67">
        <f t="shared" si="18"/>
        <v>0</v>
      </c>
      <c r="T95" s="67">
        <f t="shared" si="18"/>
        <v>0</v>
      </c>
      <c r="U95" s="67">
        <f t="shared" si="18"/>
        <v>664.6</v>
      </c>
      <c r="V95" s="67">
        <f t="shared" si="18"/>
        <v>26146.299999999996</v>
      </c>
      <c r="W95" s="67">
        <f t="shared" si="18"/>
        <v>5747.6</v>
      </c>
      <c r="X95" s="67">
        <f t="shared" si="18"/>
        <v>511.4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51119.399999999994</v>
      </c>
      <c r="AG95" s="71">
        <f>B95+C95-AF95</f>
        <v>22500.33200000001</v>
      </c>
    </row>
    <row r="96" spans="1:33" ht="15.75">
      <c r="A96" s="3" t="s">
        <v>2</v>
      </c>
      <c r="B96" s="22">
        <f aca="true" t="shared" si="19" ref="B96:AD96">B12+B20+B29+B36+B57+B66+B44+B80+B74+B53</f>
        <v>2025.3000000000002</v>
      </c>
      <c r="C96" s="109">
        <f t="shared" si="19"/>
        <v>2368.0620000000004</v>
      </c>
      <c r="D96" s="67">
        <f t="shared" si="19"/>
        <v>0</v>
      </c>
      <c r="E96" s="67">
        <f t="shared" si="19"/>
        <v>37.6</v>
      </c>
      <c r="F96" s="67">
        <f t="shared" si="19"/>
        <v>40.699999999999996</v>
      </c>
      <c r="G96" s="67">
        <f t="shared" si="19"/>
        <v>0</v>
      </c>
      <c r="H96" s="67">
        <f t="shared" si="19"/>
        <v>0</v>
      </c>
      <c r="I96" s="67">
        <f t="shared" si="19"/>
        <v>0.5</v>
      </c>
      <c r="J96" s="72">
        <f t="shared" si="19"/>
        <v>183</v>
      </c>
      <c r="K96" s="67">
        <f t="shared" si="19"/>
        <v>20.500000000000004</v>
      </c>
      <c r="L96" s="72">
        <f t="shared" si="19"/>
        <v>4.5</v>
      </c>
      <c r="M96" s="67">
        <f t="shared" si="19"/>
        <v>212.9</v>
      </c>
      <c r="N96" s="67">
        <f t="shared" si="19"/>
        <v>6.300000000000001</v>
      </c>
      <c r="O96" s="67">
        <f t="shared" si="19"/>
        <v>14.299999999999999</v>
      </c>
      <c r="P96" s="67">
        <f t="shared" si="19"/>
        <v>92.8</v>
      </c>
      <c r="Q96" s="67">
        <f t="shared" si="19"/>
        <v>275.8</v>
      </c>
      <c r="R96" s="67">
        <f t="shared" si="19"/>
        <v>15.1</v>
      </c>
      <c r="S96" s="67">
        <f t="shared" si="19"/>
        <v>20</v>
      </c>
      <c r="T96" s="67">
        <f t="shared" si="19"/>
        <v>117</v>
      </c>
      <c r="U96" s="67">
        <f t="shared" si="19"/>
        <v>13.6</v>
      </c>
      <c r="V96" s="67">
        <f t="shared" si="19"/>
        <v>68.4</v>
      </c>
      <c r="W96" s="67">
        <f t="shared" si="19"/>
        <v>731.5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1854.5</v>
      </c>
      <c r="AG96" s="71">
        <f>B96+C96-AF96</f>
        <v>2538.862000000001</v>
      </c>
    </row>
    <row r="97" spans="1:33" ht="15.75">
      <c r="A97" s="3" t="s">
        <v>3</v>
      </c>
      <c r="B97" s="22">
        <f aca="true" t="shared" si="20" ref="B97:AA97">B18+B27+B42+B64+B78</f>
        <v>1.4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11</v>
      </c>
    </row>
    <row r="98" spans="1:33" ht="15.75">
      <c r="A98" s="3" t="s">
        <v>1</v>
      </c>
      <c r="B98" s="22">
        <f aca="true" t="shared" si="21" ref="B98:AD98">B19+B28+B65+B35+B43+B56+B79</f>
        <v>2402.8</v>
      </c>
      <c r="C98" s="109">
        <f t="shared" si="21"/>
        <v>6610.085999999999</v>
      </c>
      <c r="D98" s="67">
        <f t="shared" si="21"/>
        <v>0</v>
      </c>
      <c r="E98" s="67">
        <f t="shared" si="21"/>
        <v>1.8</v>
      </c>
      <c r="F98" s="67">
        <f t="shared" si="21"/>
        <v>9.1</v>
      </c>
      <c r="G98" s="67">
        <f t="shared" si="21"/>
        <v>0</v>
      </c>
      <c r="H98" s="67">
        <f t="shared" si="21"/>
        <v>87.5</v>
      </c>
      <c r="I98" s="67">
        <f t="shared" si="21"/>
        <v>0</v>
      </c>
      <c r="J98" s="72">
        <f t="shared" si="21"/>
        <v>10.5</v>
      </c>
      <c r="K98" s="67">
        <f t="shared" si="21"/>
        <v>65.6</v>
      </c>
      <c r="L98" s="72">
        <f t="shared" si="21"/>
        <v>0</v>
      </c>
      <c r="M98" s="67">
        <f t="shared" si="21"/>
        <v>0</v>
      </c>
      <c r="N98" s="67">
        <f t="shared" si="21"/>
        <v>226.3</v>
      </c>
      <c r="O98" s="67">
        <f t="shared" si="21"/>
        <v>133.4</v>
      </c>
      <c r="P98" s="67">
        <f t="shared" si="21"/>
        <v>0</v>
      </c>
      <c r="Q98" s="67">
        <f t="shared" si="21"/>
        <v>99.39999999999999</v>
      </c>
      <c r="R98" s="67">
        <f t="shared" si="21"/>
        <v>70.3</v>
      </c>
      <c r="S98" s="67">
        <f t="shared" si="21"/>
        <v>0</v>
      </c>
      <c r="T98" s="67">
        <f t="shared" si="21"/>
        <v>1.5</v>
      </c>
      <c r="U98" s="67">
        <f t="shared" si="21"/>
        <v>8.2</v>
      </c>
      <c r="V98" s="67">
        <f t="shared" si="21"/>
        <v>0</v>
      </c>
      <c r="W98" s="67">
        <f t="shared" si="21"/>
        <v>1383.7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2097.3</v>
      </c>
      <c r="AG98" s="71">
        <f>B98+C98-AF98</f>
        <v>6915.585999999998</v>
      </c>
    </row>
    <row r="99" spans="1:33" ht="15.75">
      <c r="A99" s="3" t="s">
        <v>16</v>
      </c>
      <c r="B99" s="22">
        <f aca="true" t="shared" si="22" ref="B99:X99">B21+B30+B49+B37+B58+B13+B75+B67</f>
        <v>3154.1</v>
      </c>
      <c r="C99" s="109">
        <f t="shared" si="22"/>
        <v>4112.236</v>
      </c>
      <c r="D99" s="67">
        <f t="shared" si="22"/>
        <v>0</v>
      </c>
      <c r="E99" s="67">
        <f t="shared" si="22"/>
        <v>182.1</v>
      </c>
      <c r="F99" s="67">
        <f t="shared" si="22"/>
        <v>97.5</v>
      </c>
      <c r="G99" s="67">
        <f t="shared" si="22"/>
        <v>50.9</v>
      </c>
      <c r="H99" s="67">
        <f t="shared" si="22"/>
        <v>0</v>
      </c>
      <c r="I99" s="67">
        <f t="shared" si="22"/>
        <v>0</v>
      </c>
      <c r="J99" s="72">
        <f t="shared" si="22"/>
        <v>85.5</v>
      </c>
      <c r="K99" s="67">
        <f t="shared" si="22"/>
        <v>91.4</v>
      </c>
      <c r="L99" s="72">
        <f t="shared" si="22"/>
        <v>0</v>
      </c>
      <c r="M99" s="67">
        <f t="shared" si="22"/>
        <v>0</v>
      </c>
      <c r="N99" s="67">
        <f t="shared" si="22"/>
        <v>287.1</v>
      </c>
      <c r="O99" s="67">
        <f t="shared" si="22"/>
        <v>275.8</v>
      </c>
      <c r="P99" s="67">
        <f t="shared" si="22"/>
        <v>54.5</v>
      </c>
      <c r="Q99" s="67">
        <f t="shared" si="22"/>
        <v>12.4</v>
      </c>
      <c r="R99" s="67">
        <f t="shared" si="22"/>
        <v>0</v>
      </c>
      <c r="S99" s="67">
        <f t="shared" si="22"/>
        <v>0</v>
      </c>
      <c r="T99" s="67">
        <f t="shared" si="22"/>
        <v>34</v>
      </c>
      <c r="U99" s="67">
        <f t="shared" si="22"/>
        <v>903.5999999999999</v>
      </c>
      <c r="V99" s="67">
        <f t="shared" si="22"/>
        <v>591.8</v>
      </c>
      <c r="W99" s="67">
        <f t="shared" si="22"/>
        <v>1161.9</v>
      </c>
      <c r="X99" s="67">
        <f t="shared" si="22"/>
        <v>11.2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3839.7000000000003</v>
      </c>
      <c r="AG99" s="71">
        <f>B99+C99-AF99</f>
        <v>3426.635999999999</v>
      </c>
    </row>
    <row r="100" spans="1:33" ht="12.75">
      <c r="A100" s="1" t="s">
        <v>35</v>
      </c>
      <c r="B100" s="2">
        <f aca="true" t="shared" si="24" ref="B100:AD100">B94-B95-B96-B97-B98-B99</f>
        <v>107773.62999999999</v>
      </c>
      <c r="C100" s="20">
        <f t="shared" si="24"/>
        <v>102228.37948999996</v>
      </c>
      <c r="D100" s="85">
        <f t="shared" si="24"/>
        <v>570.5000000000001</v>
      </c>
      <c r="E100" s="85">
        <f t="shared" si="24"/>
        <v>2092.3</v>
      </c>
      <c r="F100" s="85">
        <f t="shared" si="24"/>
        <v>4277.400000000001</v>
      </c>
      <c r="G100" s="85">
        <f t="shared" si="24"/>
        <v>782.1999999999999</v>
      </c>
      <c r="H100" s="85">
        <f t="shared" si="24"/>
        <v>3445.9</v>
      </c>
      <c r="I100" s="85">
        <f t="shared" si="24"/>
        <v>1002.6</v>
      </c>
      <c r="J100" s="131">
        <f t="shared" si="24"/>
        <v>1782.7000000000003</v>
      </c>
      <c r="K100" s="85">
        <f t="shared" si="24"/>
        <v>5127.499999999998</v>
      </c>
      <c r="L100" s="131">
        <f t="shared" si="24"/>
        <v>11693.00000000001</v>
      </c>
      <c r="M100" s="85">
        <f t="shared" si="24"/>
        <v>2875.1</v>
      </c>
      <c r="N100" s="85">
        <f t="shared" si="24"/>
        <v>323.9</v>
      </c>
      <c r="O100" s="85">
        <f t="shared" si="24"/>
        <v>1981.9999999999998</v>
      </c>
      <c r="P100" s="85">
        <f t="shared" si="24"/>
        <v>3359.2999999999997</v>
      </c>
      <c r="Q100" s="85">
        <f t="shared" si="24"/>
        <v>2220.2</v>
      </c>
      <c r="R100" s="85">
        <f t="shared" si="24"/>
        <v>7432.399999999999</v>
      </c>
      <c r="S100" s="85">
        <f t="shared" si="24"/>
        <v>1523.5</v>
      </c>
      <c r="T100" s="85">
        <f t="shared" si="24"/>
        <v>2089.8</v>
      </c>
      <c r="U100" s="85">
        <f t="shared" si="24"/>
        <v>1465.7000000000012</v>
      </c>
      <c r="V100" s="85">
        <f t="shared" si="24"/>
        <v>17666.50000000001</v>
      </c>
      <c r="W100" s="85">
        <f t="shared" si="24"/>
        <v>1078.2000000000012</v>
      </c>
      <c r="X100" s="85">
        <f t="shared" si="24"/>
        <v>41.90000000000002</v>
      </c>
      <c r="Y100" s="85">
        <f t="shared" si="24"/>
        <v>1912.1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74744.70000000003</v>
      </c>
      <c r="AG100" s="85">
        <f>AG94-AG95-AG96-AG97-AG98-AG99</f>
        <v>135257.30948999999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2018-10-19T11:53:29Z</cp:lastPrinted>
  <dcterms:created xsi:type="dcterms:W3CDTF">2002-11-05T08:53:00Z</dcterms:created>
  <dcterms:modified xsi:type="dcterms:W3CDTF">2018-10-24T11:03:40Z</dcterms:modified>
  <cp:category/>
  <cp:version/>
  <cp:contentType/>
  <cp:contentStatus/>
</cp:coreProperties>
</file>